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s\Documents\Documents\Documents\"/>
    </mc:Choice>
  </mc:AlternateContent>
  <xr:revisionPtr revIDLastSave="0" documentId="8_{8049BF13-BE40-42A6-A83D-DA8AE4C058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" sheetId="8" r:id="rId1"/>
    <sheet name="YTD" sheetId="6" r:id="rId2"/>
    <sheet name="Monthly" sheetId="7" r:id="rId3"/>
    <sheet name="Sheet3" sheetId="3" r:id="rId4"/>
  </sheets>
  <definedNames>
    <definedName name="_xlnm.Print_Area" localSheetId="2">Monthly!$A$1:$D$72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6" l="1"/>
  <c r="D29" i="6"/>
  <c r="D35" i="6"/>
  <c r="D45" i="6"/>
  <c r="D40" i="6"/>
  <c r="D40" i="7"/>
  <c r="D28" i="7"/>
  <c r="D29" i="7"/>
  <c r="D64" i="8"/>
  <c r="E64" i="8"/>
  <c r="C70" i="8" l="1"/>
  <c r="C54" i="8"/>
  <c r="F59" i="8"/>
  <c r="F60" i="8"/>
  <c r="F61" i="8"/>
  <c r="F62" i="8"/>
  <c r="F63" i="8"/>
  <c r="F65" i="8"/>
  <c r="F66" i="8"/>
  <c r="D67" i="6"/>
  <c r="F67" i="8" s="1"/>
  <c r="F68" i="8"/>
  <c r="D58" i="6"/>
  <c r="E59" i="8"/>
  <c r="E60" i="8"/>
  <c r="E61" i="8"/>
  <c r="D61" i="8" s="1"/>
  <c r="E62" i="8"/>
  <c r="E63" i="8"/>
  <c r="C65" i="6"/>
  <c r="E65" i="8" s="1"/>
  <c r="E66" i="8"/>
  <c r="E67" i="8"/>
  <c r="E68" i="8"/>
  <c r="C58" i="6"/>
  <c r="F52" i="8"/>
  <c r="E51" i="8"/>
  <c r="E54" i="8" s="1"/>
  <c r="F14" i="8"/>
  <c r="F15" i="8"/>
  <c r="F16" i="8"/>
  <c r="D17" i="6"/>
  <c r="F17" i="8" s="1"/>
  <c r="F18" i="8"/>
  <c r="F19" i="8"/>
  <c r="D20" i="6"/>
  <c r="F20" i="8" s="1"/>
  <c r="F21" i="8"/>
  <c r="F22" i="8"/>
  <c r="F23" i="8"/>
  <c r="D24" i="6"/>
  <c r="F24" i="8" s="1"/>
  <c r="F25" i="8"/>
  <c r="D26" i="6"/>
  <c r="F26" i="8" s="1"/>
  <c r="F27" i="8"/>
  <c r="F28" i="8"/>
  <c r="F29" i="8"/>
  <c r="F30" i="8"/>
  <c r="D31" i="6"/>
  <c r="F31" i="8" s="1"/>
  <c r="F32" i="8"/>
  <c r="F33" i="8"/>
  <c r="F34" i="8"/>
  <c r="F35" i="8"/>
  <c r="F36" i="8"/>
  <c r="F37" i="8"/>
  <c r="F38" i="8"/>
  <c r="D39" i="6"/>
  <c r="F39" i="8" s="1"/>
  <c r="F40" i="8"/>
  <c r="F41" i="8"/>
  <c r="F42" i="8"/>
  <c r="F43" i="8"/>
  <c r="F44" i="8"/>
  <c r="F45" i="8"/>
  <c r="F13" i="8"/>
  <c r="E14" i="8"/>
  <c r="E15" i="8"/>
  <c r="E16" i="8"/>
  <c r="E17" i="8"/>
  <c r="D17" i="8" s="1"/>
  <c r="E18" i="8"/>
  <c r="E19" i="8"/>
  <c r="E20" i="8"/>
  <c r="E21" i="8"/>
  <c r="D21" i="8" s="1"/>
  <c r="E22" i="8"/>
  <c r="C23" i="6"/>
  <c r="E23" i="8" s="1"/>
  <c r="C24" i="6"/>
  <c r="E24" i="8" s="1"/>
  <c r="E25" i="8"/>
  <c r="C26" i="6"/>
  <c r="E26" i="8" s="1"/>
  <c r="D26" i="8" s="1"/>
  <c r="E27" i="8"/>
  <c r="E28" i="8"/>
  <c r="E29" i="8"/>
  <c r="C30" i="6"/>
  <c r="E30" i="8" s="1"/>
  <c r="C31" i="6"/>
  <c r="E31" i="8" s="1"/>
  <c r="E32" i="8"/>
  <c r="E33" i="8"/>
  <c r="C34" i="6"/>
  <c r="E34" i="8" s="1"/>
  <c r="E35" i="8"/>
  <c r="E36" i="8"/>
  <c r="E37" i="8"/>
  <c r="E38" i="8"/>
  <c r="E39" i="8"/>
  <c r="E40" i="8"/>
  <c r="E41" i="8"/>
  <c r="E42" i="8"/>
  <c r="E43" i="8"/>
  <c r="E44" i="8"/>
  <c r="E45" i="8"/>
  <c r="E13" i="8"/>
  <c r="E70" i="6"/>
  <c r="G70" i="6"/>
  <c r="H70" i="6"/>
  <c r="I70" i="6"/>
  <c r="J70" i="6"/>
  <c r="F63" i="6"/>
  <c r="F70" i="6" s="1"/>
  <c r="E54" i="6"/>
  <c r="F54" i="6"/>
  <c r="G54" i="6"/>
  <c r="H54" i="6"/>
  <c r="J52" i="6"/>
  <c r="J51" i="6"/>
  <c r="I51" i="6"/>
  <c r="I54" i="6" s="1"/>
  <c r="G47" i="6"/>
  <c r="E47" i="6"/>
  <c r="F45" i="6"/>
  <c r="F40" i="6"/>
  <c r="J36" i="6"/>
  <c r="F35" i="6"/>
  <c r="J34" i="6"/>
  <c r="J33" i="6"/>
  <c r="F30" i="6"/>
  <c r="F29" i="6"/>
  <c r="F28" i="6"/>
  <c r="J27" i="6"/>
  <c r="I27" i="6"/>
  <c r="I47" i="6" s="1"/>
  <c r="F27" i="6"/>
  <c r="H25" i="6"/>
  <c r="H47" i="6" s="1"/>
  <c r="J24" i="6"/>
  <c r="J23" i="6"/>
  <c r="F23" i="6"/>
  <c r="J13" i="6"/>
  <c r="D70" i="7"/>
  <c r="C70" i="7"/>
  <c r="D7" i="8"/>
  <c r="D7" i="6"/>
  <c r="D28" i="8" l="1"/>
  <c r="D29" i="8"/>
  <c r="D30" i="8"/>
  <c r="D25" i="8"/>
  <c r="D18" i="8"/>
  <c r="D34" i="8"/>
  <c r="D45" i="8"/>
  <c r="D44" i="8"/>
  <c r="D22" i="8"/>
  <c r="D41" i="8"/>
  <c r="D38" i="8"/>
  <c r="D16" i="8"/>
  <c r="E72" i="6"/>
  <c r="H72" i="6"/>
  <c r="G72" i="6"/>
  <c r="I72" i="6"/>
  <c r="D67" i="8"/>
  <c r="D19" i="8"/>
  <c r="D36" i="8"/>
  <c r="D32" i="8"/>
  <c r="D66" i="8"/>
  <c r="D14" i="8"/>
  <c r="D60" i="8"/>
  <c r="J54" i="6"/>
  <c r="D43" i="8"/>
  <c r="D39" i="8"/>
  <c r="D31" i="8"/>
  <c r="D27" i="8"/>
  <c r="D68" i="8"/>
  <c r="D63" i="8"/>
  <c r="E70" i="8"/>
  <c r="D59" i="8"/>
  <c r="D40" i="8"/>
  <c r="D24" i="8"/>
  <c r="D62" i="8"/>
  <c r="D20" i="8"/>
  <c r="D42" i="8"/>
  <c r="F70" i="8"/>
  <c r="D33" i="8"/>
  <c r="D35" i="8"/>
  <c r="D23" i="8"/>
  <c r="E47" i="8"/>
  <c r="D37" i="8"/>
  <c r="F47" i="8"/>
  <c r="D15" i="8"/>
  <c r="D47" i="6"/>
  <c r="D52" i="8"/>
  <c r="D54" i="6"/>
  <c r="F51" i="8"/>
  <c r="F54" i="8" s="1"/>
  <c r="D65" i="8"/>
  <c r="D70" i="6"/>
  <c r="C70" i="6"/>
  <c r="C54" i="6"/>
  <c r="C47" i="6"/>
  <c r="J47" i="6"/>
  <c r="F47" i="6"/>
  <c r="F72" i="6" s="1"/>
  <c r="D70" i="8" l="1"/>
  <c r="J72" i="6"/>
  <c r="D72" i="6"/>
  <c r="C72" i="6"/>
  <c r="C31" i="8"/>
  <c r="C47" i="8" s="1"/>
  <c r="C72" i="8" s="1"/>
  <c r="A2" i="8"/>
  <c r="A2" i="6"/>
  <c r="F72" i="8"/>
  <c r="E72" i="8"/>
  <c r="D47" i="7"/>
  <c r="D9" i="8"/>
  <c r="D6" i="8"/>
  <c r="D5" i="8"/>
  <c r="D4" i="8"/>
  <c r="D74" i="6" l="1"/>
  <c r="D13" i="8"/>
  <c r="D47" i="8" s="1"/>
  <c r="D54" i="8"/>
  <c r="D51" i="8"/>
  <c r="D54" i="7"/>
  <c r="D72" i="7" s="1"/>
  <c r="C54" i="7"/>
  <c r="C47" i="7"/>
  <c r="D6" i="6"/>
  <c r="D9" i="6"/>
  <c r="D5" i="6"/>
  <c r="D4" i="6"/>
  <c r="C9" i="6"/>
  <c r="D72" i="8" l="1"/>
  <c r="C7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tc={94F2C173-8D08-9548-A31B-1E0C3CE7AD49}</author>
    <author>tc={A6ED282C-633A-6449-A60F-47C0CDE9BDB6}</author>
  </authors>
  <commentList>
    <comment ref="A63" authorId="0" shapeId="0" xr:uid="{94F2C173-8D08-9548-A31B-1E0C3CE7AD49}">
      <text>
        <t>[Threaded comment]
Your version of Excel allows you to read this threaded comment; however, any edits to it will get removed if the file is opened in a newer version of Excel. Learn more: https://go.microsoft.com/fwlink/?linkid=870924
Comment:
    $ paid by Gen Acct in Above</t>
      </text>
    </comment>
    <comment ref="F63" authorId="1" shapeId="0" xr:uid="{A6ED282C-633A-6449-A60F-47C0CDE9BDB6}">
      <text>
        <t>[Threaded comment]
Your version of Excel allows you to read this threaded comment; however, any edits to it will get removed if the file is opened in a newer version of Excel. Learn more: https://go.microsoft.com/fwlink/?linkid=870924
Comment:
    Some of this got coded to HS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tc={A8A28717-783E-7D4B-9CBA-891CE2E9606F}</author>
    <author>tc={5DB9A18C-7622-7F4E-9127-97C10CBD54FA}</author>
    <author>tc={CD694132-46A6-6C42-906E-F95A22350D57}</author>
  </authors>
  <commentList>
    <comment ref="D23" authorId="0" shapeId="0" xr:uid="{A8A28717-783E-7D4B-9CBA-891CE2E9606F}">
      <text>
        <t>[Threaded comment]
Your version of Excel allows you to read this threaded comment; however, any edits to it will get removed if the file is opened in a newer version of Excel. Learn more: https://go.microsoft.com/fwlink/?linkid=870924
Comment:
    From 2023</t>
      </text>
    </comment>
    <comment ref="C25" authorId="1" shapeId="0" xr:uid="{5DB9A18C-7622-7F4E-9127-97C10CBD54FA}">
      <text>
        <t>[Threaded comment]
Your version of Excel allows you to read this threaded comment; however, any edits to it will get removed if the file is opened in a newer version of Excel. Learn more: https://go.microsoft.com/fwlink/?linkid=870924
Comment:
    Might be masters income</t>
      </text>
    </comment>
    <comment ref="A63" authorId="2" shapeId="0" xr:uid="{CD694132-46A6-6C42-906E-F95A22350D57}">
      <text>
        <t>[Threaded comment]
Your version of Excel allows you to read this threaded comment; however, any edits to it will get removed if the file is opened in a newer version of Excel. Learn more: https://go.microsoft.com/fwlink/?linkid=870924
Comment:
    $ paid by Gen Acct in Above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tc={08B09FFD-57AD-A54E-8213-F67E8E7D22AA}</author>
  </authors>
  <commentList>
    <comment ref="A63" authorId="0" shapeId="0" xr:uid="{08B09FFD-57AD-A54E-8213-F67E8E7D22AA}">
      <text>
        <t>[Threaded comment]
Your version of Excel allows you to read this threaded comment; however, any edits to it will get removed if the file is opened in a newer version of Excel. Learn more: https://go.microsoft.com/fwlink/?linkid=870924
Comment:
    $ paid by Gen Acct in Above</t>
      </text>
    </comment>
  </commentList>
</comments>
</file>

<file path=xl/sharedStrings.xml><?xml version="1.0" encoding="utf-8"?>
<sst xmlns="http://schemas.openxmlformats.org/spreadsheetml/2006/main" count="412" uniqueCount="85">
  <si>
    <t>General Account</t>
  </si>
  <si>
    <t>Membership &amp; Sanctions</t>
  </si>
  <si>
    <t xml:space="preserve"> </t>
  </si>
  <si>
    <t>Officials Account</t>
  </si>
  <si>
    <t>Vehicle</t>
  </si>
  <si>
    <t>Awards &amp; Recognition</t>
  </si>
  <si>
    <t>Meals, Entertainment &amp; Travel</t>
  </si>
  <si>
    <t>Office Supplies</t>
  </si>
  <si>
    <t>Phone/Internet</t>
  </si>
  <si>
    <t>Postage</t>
  </si>
  <si>
    <t>Software &amp; Licensing</t>
  </si>
  <si>
    <t xml:space="preserve">Track Supplies </t>
  </si>
  <si>
    <t xml:space="preserve">College </t>
  </si>
  <si>
    <t xml:space="preserve">High School  </t>
  </si>
  <si>
    <t xml:space="preserve">Middle School  </t>
  </si>
  <si>
    <t xml:space="preserve">Timing  </t>
  </si>
  <si>
    <t>Officials Training</t>
  </si>
  <si>
    <t>Marketing</t>
  </si>
  <si>
    <t>Storage Rental</t>
  </si>
  <si>
    <t>Taxes</t>
  </si>
  <si>
    <t>Professional Services</t>
  </si>
  <si>
    <t xml:space="preserve">   Bookkeeping</t>
  </si>
  <si>
    <t>Accounting Services</t>
  </si>
  <si>
    <t>Track Equipment (incl Repair)</t>
  </si>
  <si>
    <t>Savings Account</t>
  </si>
  <si>
    <t>2021 Income</t>
  </si>
  <si>
    <t>2022 Income to Date</t>
  </si>
  <si>
    <t>2021 Expense</t>
  </si>
  <si>
    <t>2022 Expense to Date</t>
  </si>
  <si>
    <t>2021 Expenses</t>
  </si>
  <si>
    <t xml:space="preserve">     Jim Bean Memorial</t>
  </si>
  <si>
    <t>Donations &amp; Registrations</t>
  </si>
  <si>
    <t xml:space="preserve">    Track &amp; Field</t>
  </si>
  <si>
    <t xml:space="preserve">     Oregon Sports Authority</t>
  </si>
  <si>
    <t xml:space="preserve">          Youth</t>
  </si>
  <si>
    <t xml:space="preserve">          Masters</t>
  </si>
  <si>
    <t xml:space="preserve">     Cross Country</t>
  </si>
  <si>
    <t xml:space="preserve">           Youth</t>
  </si>
  <si>
    <t xml:space="preserve">           Masters</t>
  </si>
  <si>
    <t>Officials  Equipment &amp; Supplies</t>
  </si>
  <si>
    <t xml:space="preserve">    RaceWalk</t>
  </si>
  <si>
    <t>Grant</t>
  </si>
  <si>
    <t>Office/Computer Equipment</t>
  </si>
  <si>
    <t>Accounts Receivable (Officials)</t>
  </si>
  <si>
    <t>Officials Income &amp; Expenses</t>
  </si>
  <si>
    <t>Officials Awards</t>
  </si>
  <si>
    <t xml:space="preserve">      Annual Meeting</t>
  </si>
  <si>
    <t xml:space="preserve">     Annual Meetings</t>
  </si>
  <si>
    <t>January - December</t>
  </si>
  <si>
    <t>2023 Income to Date</t>
  </si>
  <si>
    <t>2023 Expense to Date</t>
  </si>
  <si>
    <t>General Totals</t>
  </si>
  <si>
    <t>Official Totals</t>
  </si>
  <si>
    <t>Grand Totals</t>
  </si>
  <si>
    <t xml:space="preserve">                 Region 13</t>
  </si>
  <si>
    <t xml:space="preserve">                 State</t>
  </si>
  <si>
    <t>Monthly P &amp; L</t>
  </si>
  <si>
    <t>Year to Date P &amp; L</t>
  </si>
  <si>
    <t>CC Rewards Income</t>
  </si>
  <si>
    <t>Clothing</t>
  </si>
  <si>
    <t>Donations &amp; Registrations/Meet Exp</t>
  </si>
  <si>
    <t>A/R (Officials)</t>
  </si>
  <si>
    <t>RefTown Account</t>
  </si>
  <si>
    <t>USATF Budget 2024</t>
  </si>
  <si>
    <t xml:space="preserve">2024 Monthly Income </t>
  </si>
  <si>
    <t xml:space="preserve">2024 Monthly Expense </t>
  </si>
  <si>
    <t>2024 Income to Date</t>
  </si>
  <si>
    <t>2024 Expense to Date</t>
  </si>
  <si>
    <t xml:space="preserve">High School Officials Certification </t>
  </si>
  <si>
    <t xml:space="preserve">Officials USATF Certification </t>
  </si>
  <si>
    <t>RefTown Totals</t>
  </si>
  <si>
    <t xml:space="preserve">Grant  </t>
  </si>
  <si>
    <t>Officials USATF Training</t>
  </si>
  <si>
    <t>USATF (not included in General Meet Exp)</t>
  </si>
  <si>
    <t>RefTown Program</t>
  </si>
  <si>
    <t>2024 Budget</t>
  </si>
  <si>
    <t>2024 Actual</t>
  </si>
  <si>
    <t>2023 Numbers</t>
  </si>
  <si>
    <t xml:space="preserve">  </t>
  </si>
  <si>
    <t>Bank Service Charges not on Budget</t>
  </si>
  <si>
    <t>Shells</t>
  </si>
  <si>
    <t>Month: June</t>
  </si>
  <si>
    <t>Laser Rental</t>
  </si>
  <si>
    <t>Laser</t>
  </si>
  <si>
    <t>Updated 8/16/2024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</si>
</sst>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A12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7" fontId="0" fillId="0" borderId="0" xfId="0" applyNumberFormat="1"/>
    <xf numFmtId="7" fontId="1" fillId="2" borderId="0" xfId="0" applyNumberFormat="1" applyFont="1" applyFill="1" applyAlignment="1">
      <alignment horizontal="right"/>
    </xf>
    <xf numFmtId="7" fontId="5" fillId="0" borderId="0" xfId="0" applyNumberFormat="1" applyFont="1"/>
    <xf numFmtId="40" fontId="5" fillId="0" borderId="0" xfId="0" applyNumberFormat="1" applyFont="1"/>
    <xf numFmtId="40" fontId="0" fillId="0" borderId="0" xfId="0" applyNumberFormat="1"/>
    <xf numFmtId="40" fontId="1" fillId="0" borderId="0" xfId="0" applyNumberFormat="1" applyFont="1"/>
    <xf numFmtId="0" fontId="6" fillId="0" borderId="0" xfId="0" applyFont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right"/>
    </xf>
    <xf numFmtId="164" fontId="5" fillId="0" borderId="1" xfId="0" applyNumberFormat="1" applyFont="1" applyBorder="1"/>
    <xf numFmtId="40" fontId="0" fillId="0" borderId="1" xfId="0" applyNumberFormat="1" applyBorder="1"/>
    <xf numFmtId="40" fontId="1" fillId="0" borderId="1" xfId="0" applyNumberFormat="1" applyFont="1" applyBorder="1"/>
    <xf numFmtId="0" fontId="7" fillId="0" borderId="0" xfId="0" applyFont="1"/>
    <xf numFmtId="40" fontId="7" fillId="0" borderId="0" xfId="0" applyNumberFormat="1" applyFont="1"/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8" fontId="0" fillId="0" borderId="0" xfId="0" applyNumberFormat="1"/>
    <xf numFmtId="40" fontId="8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5" fillId="0" borderId="0" xfId="0" applyNumberFormat="1" applyFont="1"/>
    <xf numFmtId="44" fontId="0" fillId="0" borderId="0" xfId="1" applyFont="1"/>
    <xf numFmtId="44" fontId="5" fillId="0" borderId="0" xfId="1" applyFont="1"/>
    <xf numFmtId="8" fontId="5" fillId="0" borderId="0" xfId="0" applyNumberFormat="1" applyFont="1"/>
    <xf numFmtId="8" fontId="5" fillId="0" borderId="0" xfId="1" applyNumberFormat="1" applyFont="1"/>
    <xf numFmtId="44" fontId="5" fillId="0" borderId="0" xfId="0" applyNumberFormat="1" applyFont="1"/>
    <xf numFmtId="8" fontId="0" fillId="0" borderId="0" xfId="1" applyNumberFormat="1" applyFont="1"/>
    <xf numFmtId="40" fontId="1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4" fontId="1" fillId="2" borderId="0" xfId="1" applyFont="1" applyFill="1" applyAlignment="1">
      <alignment horizontal="center" vertical="center"/>
    </xf>
    <xf numFmtId="8" fontId="9" fillId="0" borderId="0" xfId="1" applyNumberFormat="1" applyFont="1"/>
    <xf numFmtId="44" fontId="0" fillId="0" borderId="0" xfId="0" applyNumberFormat="1"/>
    <xf numFmtId="44" fontId="9" fillId="0" borderId="0" xfId="1" applyFont="1"/>
    <xf numFmtId="0" fontId="7" fillId="0" borderId="0" xfId="0" applyFont="1" applyAlignment="1">
      <alignment horizontal="right"/>
    </xf>
    <xf numFmtId="8" fontId="1" fillId="0" borderId="0" xfId="0" applyNumberFormat="1" applyFont="1"/>
    <xf numFmtId="8" fontId="3" fillId="0" borderId="0" xfId="0" applyNumberFormat="1" applyFont="1"/>
    <xf numFmtId="8" fontId="0" fillId="0" borderId="1" xfId="0" applyNumberFormat="1" applyBorder="1"/>
    <xf numFmtId="8" fontId="7" fillId="0" borderId="0" xfId="0" applyNumberFormat="1" applyFont="1"/>
    <xf numFmtId="8" fontId="1" fillId="2" borderId="0" xfId="0" applyNumberFormat="1" applyFont="1" applyFill="1" applyAlignment="1">
      <alignment horizontal="right"/>
    </xf>
    <xf numFmtId="8" fontId="1" fillId="0" borderId="0" xfId="0" applyNumberFormat="1" applyFont="1" applyAlignment="1">
      <alignment horizontal="right"/>
    </xf>
    <xf numFmtId="8" fontId="1" fillId="0" borderId="1" xfId="0" applyNumberFormat="1" applyFont="1" applyBorder="1"/>
    <xf numFmtId="8" fontId="5" fillId="0" borderId="1" xfId="0" applyNumberFormat="1" applyFont="1" applyBorder="1"/>
    <xf numFmtId="8" fontId="7" fillId="0" borderId="1" xfId="0" applyNumberFormat="1" applyFont="1" applyBorder="1"/>
    <xf numFmtId="8" fontId="1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/>
    <xf numFmtId="40" fontId="7" fillId="0" borderId="0" xfId="0" applyNumberFormat="1" applyFont="1" applyAlignment="1">
      <alignment horizontal="center"/>
    </xf>
    <xf numFmtId="6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A12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ebi Hanson" id="{B978B9C8-769A-D044-BE84-DDAD22DBBFC6}" userId="S::debi@oreofficials.org::8b5217cd-b63f-4aa4-bbc0-bd14b06bcc3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3" dT="2024-02-06T19:04:14.07" personId="{B978B9C8-769A-D044-BE84-DDAD22DBBFC6}" id="{94F2C173-8D08-9548-A31B-1E0C3CE7AD49}">
    <text>$ paid by Gen Acct in Above</text>
  </threadedComment>
  <threadedComment ref="F63" dT="2024-07-16T21:23:16.31" personId="{B978B9C8-769A-D044-BE84-DDAD22DBBFC6}" id="{A6ED282C-633A-6449-A60F-47C0CDE9BDB6}">
    <text>Some of this got coded to HS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23" dT="2024-03-16T01:02:37.55" personId="{B978B9C8-769A-D044-BE84-DDAD22DBBFC6}" id="{A8A28717-783E-7D4B-9CBA-891CE2E9606F}">
    <text>From 2023</text>
  </threadedComment>
  <threadedComment ref="C25" dT="2024-06-17T20:09:09.11" personId="{B978B9C8-769A-D044-BE84-DDAD22DBBFC6}" id="{5DB9A18C-7622-7F4E-9127-97C10CBD54FA}">
    <text>Might be masters income</text>
  </threadedComment>
  <threadedComment ref="A63" dT="2024-02-06T19:04:14.07" personId="{B978B9C8-769A-D044-BE84-DDAD22DBBFC6}" id="{CD694132-46A6-6C42-906E-F95A22350D57}">
    <text>$ paid by Gen Acct in Above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63" dT="2024-02-06T19:04:14.07" personId="{B978B9C8-769A-D044-BE84-DDAD22DBBFC6}" id="{08B09FFD-57AD-A54E-8213-F67E8E7D22AA}">
    <text>$ paid by Gen Acct in Above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599F4-345F-A544-80F7-56EAAC5DB8B8}">
  <sheetPr>
    <pageSetUpPr fitToPage="1"/>
  </sheetPr>
  <dimension ref="A1:L72"/>
  <sheetViews>
    <sheetView tabSelected="1" topLeftCell="A13" zoomScale="126" zoomScaleNormal="126" workbookViewId="0">
      <pane xSplit="1" topLeftCell="B1" activePane="topRight" state="frozen"/>
      <selection pane="topRight" activeCell="D64" sqref="D64"/>
    </sheetView>
  </sheetViews>
  <sheetFormatPr defaultColWidth="8.77734375" defaultRowHeight="14.4" x14ac:dyDescent="0.3"/>
  <cols>
    <col min="1" max="1" width="32.6640625" bestFit="1" customWidth="1"/>
    <col min="2" max="2" width="4.33203125" customWidth="1"/>
    <col min="3" max="3" width="17.77734375" style="17" bestFit="1" customWidth="1"/>
    <col min="4" max="4" width="14" style="33" customWidth="1"/>
    <col min="5" max="5" width="18.44140625" style="35" bestFit="1" customWidth="1"/>
    <col min="6" max="6" width="19" style="35" bestFit="1" customWidth="1"/>
    <col min="9" max="9" width="14.109375" customWidth="1"/>
    <col min="10" max="10" width="18.77734375" customWidth="1"/>
    <col min="11" max="11" width="2.44140625" customWidth="1"/>
    <col min="12" max="12" width="17.6640625" customWidth="1"/>
  </cols>
  <sheetData>
    <row r="1" spans="1:12" ht="18" x14ac:dyDescent="0.35">
      <c r="A1" s="10" t="s">
        <v>63</v>
      </c>
      <c r="B1" s="10"/>
      <c r="C1" s="32" t="s">
        <v>48</v>
      </c>
      <c r="F1" s="35" t="s">
        <v>2</v>
      </c>
    </row>
    <row r="2" spans="1:12" ht="18" x14ac:dyDescent="0.35">
      <c r="A2" s="19" t="str">
        <f>Monthly!A2</f>
        <v>Updated 8/16/2024</v>
      </c>
      <c r="B2" s="10"/>
    </row>
    <row r="4" spans="1:12" x14ac:dyDescent="0.3">
      <c r="A4" s="1" t="s">
        <v>0</v>
      </c>
      <c r="C4" s="17" t="s">
        <v>2</v>
      </c>
      <c r="D4" s="31">
        <f>Monthly!C4</f>
        <v>134379.91</v>
      </c>
      <c r="E4" s="40" t="s">
        <v>2</v>
      </c>
    </row>
    <row r="5" spans="1:12" x14ac:dyDescent="0.3">
      <c r="A5" s="1" t="s">
        <v>3</v>
      </c>
      <c r="C5" s="17" t="s">
        <v>2</v>
      </c>
      <c r="D5" s="31">
        <f>Monthly!C5</f>
        <v>1962.2</v>
      </c>
      <c r="E5" s="40" t="s">
        <v>2</v>
      </c>
    </row>
    <row r="6" spans="1:12" x14ac:dyDescent="0.3">
      <c r="A6" s="1" t="s">
        <v>24</v>
      </c>
      <c r="C6" s="17" t="s">
        <v>2</v>
      </c>
      <c r="D6" s="31">
        <f>Monthly!C6</f>
        <v>16085.5</v>
      </c>
      <c r="E6" s="40" t="s">
        <v>2</v>
      </c>
    </row>
    <row r="7" spans="1:12" x14ac:dyDescent="0.3">
      <c r="A7" s="1" t="s">
        <v>62</v>
      </c>
      <c r="D7" s="31">
        <f>Monthly!C7</f>
        <v>62067.07</v>
      </c>
      <c r="E7" s="40"/>
    </row>
    <row r="8" spans="1:12" x14ac:dyDescent="0.3">
      <c r="A8" s="1"/>
      <c r="D8" s="31"/>
      <c r="E8" s="40"/>
    </row>
    <row r="9" spans="1:12" x14ac:dyDescent="0.3">
      <c r="A9" s="1" t="s">
        <v>43</v>
      </c>
      <c r="C9" s="16" t="s">
        <v>61</v>
      </c>
      <c r="D9" s="31">
        <f>Monthly!C9</f>
        <v>-540.5</v>
      </c>
      <c r="E9" s="38" t="s">
        <v>2</v>
      </c>
    </row>
    <row r="11" spans="1:12" x14ac:dyDescent="0.3">
      <c r="A11" s="6" t="s">
        <v>0</v>
      </c>
      <c r="B11" s="7"/>
      <c r="C11" s="41" t="s">
        <v>75</v>
      </c>
      <c r="D11" s="42" t="s">
        <v>76</v>
      </c>
      <c r="E11" s="43" t="s">
        <v>66</v>
      </c>
      <c r="F11" s="43" t="s">
        <v>67</v>
      </c>
      <c r="J11" s="9"/>
      <c r="K11" s="9"/>
      <c r="L11" s="9"/>
    </row>
    <row r="12" spans="1:12" s="11" customFormat="1" x14ac:dyDescent="0.3">
      <c r="A12" s="11" t="s">
        <v>2</v>
      </c>
      <c r="C12" s="60" t="s">
        <v>77</v>
      </c>
      <c r="D12" s="34"/>
      <c r="E12" s="36"/>
      <c r="F12" s="36" t="s">
        <v>2</v>
      </c>
      <c r="J12" s="12"/>
      <c r="K12" s="12"/>
      <c r="L12" s="12"/>
    </row>
    <row r="13" spans="1:12" s="11" customFormat="1" x14ac:dyDescent="0.3">
      <c r="A13" t="s">
        <v>1</v>
      </c>
      <c r="C13" s="51">
        <v>45000</v>
      </c>
      <c r="D13" s="31">
        <f>SUM(E13:F13)</f>
        <v>45145.259999999995</v>
      </c>
      <c r="E13" s="44">
        <f>YTD!C13</f>
        <v>48374.17</v>
      </c>
      <c r="F13" s="38">
        <f>YTD!D13</f>
        <v>-3228.91</v>
      </c>
      <c r="J13" s="12"/>
      <c r="K13" s="12"/>
      <c r="L13" s="12"/>
    </row>
    <row r="14" spans="1:12" s="11" customFormat="1" x14ac:dyDescent="0.3">
      <c r="A14" s="30" t="s">
        <v>58</v>
      </c>
      <c r="C14" s="51"/>
      <c r="D14" s="31">
        <f t="shared" ref="D14:D45" si="0">SUM(E14:F14)</f>
        <v>700</v>
      </c>
      <c r="E14" s="44">
        <f>YTD!C14</f>
        <v>700</v>
      </c>
      <c r="F14" s="38" t="str">
        <f>YTD!D14</f>
        <v xml:space="preserve"> </v>
      </c>
      <c r="J14" s="12"/>
      <c r="K14" s="12"/>
      <c r="L14" s="12"/>
    </row>
    <row r="15" spans="1:12" s="11" customFormat="1" x14ac:dyDescent="0.3">
      <c r="A15" t="s">
        <v>22</v>
      </c>
      <c r="C15" s="51">
        <v>3000</v>
      </c>
      <c r="D15" s="31">
        <f t="shared" si="0"/>
        <v>245</v>
      </c>
      <c r="E15" s="44" t="str">
        <f>YTD!C15</f>
        <v xml:space="preserve"> </v>
      </c>
      <c r="F15" s="44">
        <f>YTD!D15</f>
        <v>245</v>
      </c>
      <c r="J15" s="12"/>
      <c r="K15" s="12"/>
      <c r="L15" s="12"/>
    </row>
    <row r="16" spans="1:12" s="11" customFormat="1" x14ac:dyDescent="0.3">
      <c r="A16" s="30" t="s">
        <v>21</v>
      </c>
      <c r="C16" s="51"/>
      <c r="D16" s="31">
        <f t="shared" si="0"/>
        <v>-2787.5</v>
      </c>
      <c r="E16" s="44" t="str">
        <f>YTD!C16</f>
        <v xml:space="preserve"> </v>
      </c>
      <c r="F16" s="38">
        <f>YTD!D16</f>
        <v>-2787.5</v>
      </c>
      <c r="J16" s="12"/>
      <c r="K16" s="12"/>
      <c r="L16" s="12"/>
    </row>
    <row r="17" spans="1:12" s="11" customFormat="1" x14ac:dyDescent="0.3">
      <c r="A17" t="s">
        <v>5</v>
      </c>
      <c r="C17" s="51">
        <v>3500</v>
      </c>
      <c r="D17" s="31">
        <f t="shared" si="0"/>
        <v>0</v>
      </c>
      <c r="E17" s="44" t="str">
        <f>YTD!C17</f>
        <v xml:space="preserve"> </v>
      </c>
      <c r="F17" s="38" t="str">
        <f>YTD!D17</f>
        <v xml:space="preserve"> </v>
      </c>
      <c r="J17" s="12"/>
      <c r="K17" s="12"/>
      <c r="L17" s="12"/>
    </row>
    <row r="18" spans="1:12" s="11" customFormat="1" x14ac:dyDescent="0.3">
      <c r="A18" t="s">
        <v>59</v>
      </c>
      <c r="C18" s="51">
        <v>0</v>
      </c>
      <c r="D18" s="31">
        <f t="shared" si="0"/>
        <v>-158.47</v>
      </c>
      <c r="E18" s="44" t="str">
        <f>YTD!C18</f>
        <v xml:space="preserve"> </v>
      </c>
      <c r="F18" s="38">
        <f>YTD!D18</f>
        <v>-158.47</v>
      </c>
      <c r="J18" s="12"/>
      <c r="K18" s="12"/>
      <c r="L18" s="12"/>
    </row>
    <row r="19" spans="1:12" s="11" customFormat="1" x14ac:dyDescent="0.3">
      <c r="A19" t="s">
        <v>60</v>
      </c>
      <c r="C19" s="51"/>
      <c r="D19" s="31">
        <f t="shared" si="0"/>
        <v>0</v>
      </c>
      <c r="E19" s="44" t="str">
        <f>YTD!C19</f>
        <v xml:space="preserve"> </v>
      </c>
      <c r="F19" s="38" t="str">
        <f>YTD!D19</f>
        <v xml:space="preserve"> </v>
      </c>
      <c r="J19" s="12"/>
      <c r="K19" s="12"/>
      <c r="L19" s="12"/>
    </row>
    <row r="20" spans="1:12" s="11" customFormat="1" x14ac:dyDescent="0.3">
      <c r="A20" t="s">
        <v>30</v>
      </c>
      <c r="B20"/>
      <c r="C20" s="51"/>
      <c r="D20" s="31">
        <f t="shared" si="0"/>
        <v>0</v>
      </c>
      <c r="E20" s="44" t="str">
        <f>YTD!C20</f>
        <v xml:space="preserve"> </v>
      </c>
      <c r="F20" s="38" t="str">
        <f>YTD!D20</f>
        <v xml:space="preserve"> </v>
      </c>
      <c r="J20" s="12"/>
      <c r="K20" s="12"/>
      <c r="L20" s="12"/>
    </row>
    <row r="21" spans="1:12" s="11" customFormat="1" x14ac:dyDescent="0.3">
      <c r="A21" t="s">
        <v>33</v>
      </c>
      <c r="B21"/>
      <c r="C21" s="51"/>
      <c r="D21" s="31">
        <f t="shared" si="0"/>
        <v>0</v>
      </c>
      <c r="E21" s="44" t="str">
        <f>YTD!C21</f>
        <v xml:space="preserve"> </v>
      </c>
      <c r="F21" s="38" t="str">
        <f>YTD!D21</f>
        <v xml:space="preserve"> </v>
      </c>
      <c r="J21" s="12"/>
      <c r="K21" s="12"/>
      <c r="L21" s="12"/>
    </row>
    <row r="22" spans="1:12" s="11" customFormat="1" x14ac:dyDescent="0.3">
      <c r="A22" t="s">
        <v>36</v>
      </c>
      <c r="B22"/>
      <c r="C22" s="51"/>
      <c r="D22" s="31">
        <f t="shared" si="0"/>
        <v>0</v>
      </c>
      <c r="E22" s="44" t="str">
        <f>YTD!C22</f>
        <v xml:space="preserve"> </v>
      </c>
      <c r="F22" s="38" t="str">
        <f>YTD!D22</f>
        <v xml:space="preserve"> </v>
      </c>
      <c r="J22" s="12"/>
      <c r="K22" s="12"/>
      <c r="L22" s="12"/>
    </row>
    <row r="23" spans="1:12" s="11" customFormat="1" x14ac:dyDescent="0.3">
      <c r="A23" s="47" t="s">
        <v>37</v>
      </c>
      <c r="B23"/>
      <c r="C23" s="51">
        <v>0</v>
      </c>
      <c r="D23" s="31">
        <f t="shared" si="0"/>
        <v>-1690</v>
      </c>
      <c r="E23" s="44" t="str">
        <f>YTD!C23</f>
        <v xml:space="preserve"> </v>
      </c>
      <c r="F23" s="38">
        <f>YTD!D23</f>
        <v>-1690</v>
      </c>
      <c r="G23" s="11" t="s">
        <v>2</v>
      </c>
      <c r="H23" s="11" t="s">
        <v>2</v>
      </c>
      <c r="J23" s="12"/>
      <c r="K23" s="12"/>
      <c r="L23" s="12"/>
    </row>
    <row r="24" spans="1:12" s="11" customFormat="1" x14ac:dyDescent="0.3">
      <c r="A24" s="47" t="s">
        <v>38</v>
      </c>
      <c r="B24"/>
      <c r="C24" s="51" t="s">
        <v>2</v>
      </c>
      <c r="D24" s="31">
        <f t="shared" si="0"/>
        <v>0</v>
      </c>
      <c r="E24" s="44" t="str">
        <f>YTD!C24</f>
        <v xml:space="preserve"> </v>
      </c>
      <c r="F24" s="38" t="str">
        <f>YTD!D24</f>
        <v xml:space="preserve"> </v>
      </c>
      <c r="J24" s="12"/>
      <c r="K24" s="12"/>
      <c r="L24" s="12"/>
    </row>
    <row r="25" spans="1:12" s="11" customFormat="1" x14ac:dyDescent="0.3">
      <c r="A25" t="s">
        <v>40</v>
      </c>
      <c r="B25"/>
      <c r="C25" s="51">
        <v>1000</v>
      </c>
      <c r="D25" s="31">
        <f t="shared" si="0"/>
        <v>305</v>
      </c>
      <c r="E25" s="44">
        <f>YTD!C25</f>
        <v>405</v>
      </c>
      <c r="F25" s="38">
        <f>YTD!D25</f>
        <v>-100</v>
      </c>
      <c r="J25" s="12"/>
      <c r="K25" s="12"/>
      <c r="L25" s="12"/>
    </row>
    <row r="26" spans="1:12" s="11" customFormat="1" x14ac:dyDescent="0.3">
      <c r="A26" t="s">
        <v>32</v>
      </c>
      <c r="B26"/>
      <c r="C26" s="51"/>
      <c r="D26" s="31">
        <f t="shared" si="0"/>
        <v>0</v>
      </c>
      <c r="E26" s="44" t="str">
        <f>YTD!C26</f>
        <v xml:space="preserve"> </v>
      </c>
      <c r="F26" s="38" t="str">
        <f>YTD!D26</f>
        <v xml:space="preserve"> </v>
      </c>
      <c r="J26" s="12"/>
      <c r="K26" s="12"/>
      <c r="L26" s="12"/>
    </row>
    <row r="27" spans="1:12" s="11" customFormat="1" x14ac:dyDescent="0.3">
      <c r="A27" t="s">
        <v>34</v>
      </c>
      <c r="B27"/>
      <c r="C27" s="51">
        <v>2000</v>
      </c>
      <c r="D27" s="31">
        <f t="shared" si="0"/>
        <v>-808.0300000000002</v>
      </c>
      <c r="E27" s="44">
        <f>YTD!C27</f>
        <v>1855</v>
      </c>
      <c r="F27" s="38">
        <f>YTD!D27</f>
        <v>-2663.03</v>
      </c>
      <c r="J27" s="12"/>
      <c r="K27" s="12"/>
      <c r="L27" s="12"/>
    </row>
    <row r="28" spans="1:12" s="11" customFormat="1" x14ac:dyDescent="0.3">
      <c r="A28" s="47" t="s">
        <v>55</v>
      </c>
      <c r="B28"/>
      <c r="C28" s="51">
        <v>15000</v>
      </c>
      <c r="D28" s="31">
        <f t="shared" si="0"/>
        <v>12594.999999999998</v>
      </c>
      <c r="E28" s="44">
        <f>YTD!C28</f>
        <v>27453.1</v>
      </c>
      <c r="F28" s="38">
        <f>YTD!D28</f>
        <v>-14858.1</v>
      </c>
      <c r="G28" s="12"/>
      <c r="H28" s="12"/>
    </row>
    <row r="29" spans="1:12" s="11" customFormat="1" x14ac:dyDescent="0.3">
      <c r="A29" s="47" t="s">
        <v>54</v>
      </c>
      <c r="B29"/>
      <c r="C29" s="51">
        <v>15000</v>
      </c>
      <c r="D29" s="31">
        <f t="shared" si="0"/>
        <v>59217.62</v>
      </c>
      <c r="E29" s="44">
        <f>YTD!C29</f>
        <v>81750.720000000001</v>
      </c>
      <c r="F29" s="38">
        <f>YTD!D29</f>
        <v>-22533.1</v>
      </c>
      <c r="G29" s="12"/>
      <c r="H29" s="12"/>
    </row>
    <row r="30" spans="1:12" s="11" customFormat="1" x14ac:dyDescent="0.3">
      <c r="A30" t="s">
        <v>35</v>
      </c>
      <c r="B30"/>
      <c r="C30" s="51">
        <v>1000</v>
      </c>
      <c r="D30" s="31">
        <f t="shared" si="0"/>
        <v>202.63</v>
      </c>
      <c r="E30" s="44">
        <f>YTD!C30</f>
        <v>528</v>
      </c>
      <c r="F30" s="38">
        <f>YTD!D30</f>
        <v>-325.37</v>
      </c>
      <c r="J30" s="12"/>
      <c r="K30" s="12"/>
      <c r="L30" s="12"/>
    </row>
    <row r="31" spans="1:12" s="11" customFormat="1" x14ac:dyDescent="0.3">
      <c r="A31" t="s">
        <v>71</v>
      </c>
      <c r="C31" s="51">
        <f>YTD!E31</f>
        <v>1801.37</v>
      </c>
      <c r="D31" s="31">
        <f t="shared" si="0"/>
        <v>0</v>
      </c>
      <c r="E31" s="44" t="str">
        <f>YTD!C31</f>
        <v xml:space="preserve"> </v>
      </c>
      <c r="F31" s="38" t="str">
        <f>YTD!D31</f>
        <v xml:space="preserve"> </v>
      </c>
      <c r="G31" s="11" t="s">
        <v>2</v>
      </c>
      <c r="J31" s="12"/>
      <c r="K31" s="12"/>
      <c r="L31" s="12"/>
    </row>
    <row r="32" spans="1:12" s="11" customFormat="1" x14ac:dyDescent="0.3">
      <c r="A32" t="s">
        <v>17</v>
      </c>
      <c r="C32" s="51">
        <v>4000</v>
      </c>
      <c r="D32" s="31">
        <f t="shared" si="0"/>
        <v>-5431.04</v>
      </c>
      <c r="E32" s="44" t="str">
        <f>YTD!C32</f>
        <v xml:space="preserve"> </v>
      </c>
      <c r="F32" s="38">
        <f>YTD!D32</f>
        <v>-5431.04</v>
      </c>
      <c r="J32" s="12"/>
      <c r="K32" s="12"/>
      <c r="L32" s="12"/>
    </row>
    <row r="33" spans="1:12" s="11" customFormat="1" x14ac:dyDescent="0.3">
      <c r="A33" t="s">
        <v>6</v>
      </c>
      <c r="C33" s="51">
        <v>500</v>
      </c>
      <c r="D33" s="31">
        <f t="shared" si="0"/>
        <v>-518.16999999999996</v>
      </c>
      <c r="E33" s="44">
        <f>YTD!C33</f>
        <v>200</v>
      </c>
      <c r="F33" s="38">
        <f>YTD!D33</f>
        <v>-718.17</v>
      </c>
      <c r="J33" s="12"/>
      <c r="K33" s="12"/>
      <c r="L33" s="12"/>
    </row>
    <row r="34" spans="1:12" s="11" customFormat="1" x14ac:dyDescent="0.3">
      <c r="A34" s="47" t="s">
        <v>47</v>
      </c>
      <c r="C34" s="51"/>
      <c r="D34" s="31">
        <f t="shared" si="0"/>
        <v>835</v>
      </c>
      <c r="E34" s="44" t="str">
        <f>YTD!C34</f>
        <v xml:space="preserve"> </v>
      </c>
      <c r="F34" s="44">
        <f>YTD!D34</f>
        <v>835</v>
      </c>
      <c r="J34" s="12"/>
      <c r="K34" s="12"/>
      <c r="L34" s="12"/>
    </row>
    <row r="35" spans="1:12" s="11" customFormat="1" x14ac:dyDescent="0.3">
      <c r="A35" t="s">
        <v>42</v>
      </c>
      <c r="C35" s="51">
        <v>3000</v>
      </c>
      <c r="D35" s="31">
        <f t="shared" si="0"/>
        <v>-2485.16</v>
      </c>
      <c r="E35" s="44" t="str">
        <f>YTD!C35</f>
        <v xml:space="preserve"> </v>
      </c>
      <c r="F35" s="38">
        <f>YTD!D35</f>
        <v>-2485.16</v>
      </c>
      <c r="J35" s="12"/>
      <c r="K35" s="12"/>
      <c r="L35" s="12"/>
    </row>
    <row r="36" spans="1:12" s="11" customFormat="1" x14ac:dyDescent="0.3">
      <c r="A36" t="s">
        <v>7</v>
      </c>
      <c r="C36" s="51">
        <v>750</v>
      </c>
      <c r="D36" s="31">
        <f t="shared" si="0"/>
        <v>-558.08000000000004</v>
      </c>
      <c r="E36" s="44" t="str">
        <f>YTD!C36</f>
        <v xml:space="preserve"> </v>
      </c>
      <c r="F36" s="38">
        <f>YTD!D36</f>
        <v>-558.08000000000004</v>
      </c>
      <c r="J36" s="12"/>
      <c r="K36" s="12"/>
      <c r="L36" s="12"/>
    </row>
    <row r="37" spans="1:12" s="11" customFormat="1" x14ac:dyDescent="0.3">
      <c r="A37" t="s">
        <v>8</v>
      </c>
      <c r="C37" s="51">
        <v>900</v>
      </c>
      <c r="D37" s="31">
        <f t="shared" si="0"/>
        <v>-1641.14</v>
      </c>
      <c r="E37" s="44" t="str">
        <f>YTD!C37</f>
        <v xml:space="preserve"> </v>
      </c>
      <c r="F37" s="38">
        <f>YTD!D37</f>
        <v>-1641.14</v>
      </c>
      <c r="J37" s="12"/>
      <c r="K37" s="12"/>
      <c r="L37" s="12"/>
    </row>
    <row r="38" spans="1:12" s="11" customFormat="1" x14ac:dyDescent="0.3">
      <c r="A38" t="s">
        <v>9</v>
      </c>
      <c r="C38" s="51">
        <v>300</v>
      </c>
      <c r="D38" s="31">
        <f t="shared" si="0"/>
        <v>-73.11</v>
      </c>
      <c r="E38" s="44" t="str">
        <f>YTD!C38</f>
        <v xml:space="preserve"> </v>
      </c>
      <c r="F38" s="38">
        <f>YTD!D38</f>
        <v>-73.11</v>
      </c>
      <c r="J38" s="12"/>
      <c r="K38" s="12"/>
      <c r="L38" s="12"/>
    </row>
    <row r="39" spans="1:12" s="11" customFormat="1" x14ac:dyDescent="0.3">
      <c r="A39" t="s">
        <v>20</v>
      </c>
      <c r="C39" s="51" t="s">
        <v>2</v>
      </c>
      <c r="D39" s="31">
        <f t="shared" si="0"/>
        <v>0</v>
      </c>
      <c r="E39" s="44" t="str">
        <f>YTD!C39</f>
        <v xml:space="preserve">  </v>
      </c>
      <c r="F39" s="38" t="str">
        <f>YTD!D39</f>
        <v xml:space="preserve"> </v>
      </c>
      <c r="J39" s="12"/>
      <c r="K39" s="12"/>
      <c r="L39" s="12"/>
    </row>
    <row r="40" spans="1:12" s="11" customFormat="1" x14ac:dyDescent="0.3">
      <c r="A40" t="s">
        <v>10</v>
      </c>
      <c r="C40" s="51">
        <v>1500</v>
      </c>
      <c r="D40" s="31">
        <f t="shared" si="0"/>
        <v>-1545.98</v>
      </c>
      <c r="E40" s="44" t="str">
        <f>YTD!C40</f>
        <v xml:space="preserve"> </v>
      </c>
      <c r="F40" s="38">
        <f>YTD!D40</f>
        <v>-1545.98</v>
      </c>
      <c r="J40" s="12"/>
      <c r="K40" s="12"/>
      <c r="L40" s="12"/>
    </row>
    <row r="41" spans="1:12" s="11" customFormat="1" x14ac:dyDescent="0.3">
      <c r="A41" t="s">
        <v>18</v>
      </c>
      <c r="C41" s="51">
        <v>6000</v>
      </c>
      <c r="D41" s="31">
        <f t="shared" si="0"/>
        <v>-4416.59</v>
      </c>
      <c r="E41" s="44" t="str">
        <f>YTD!C41</f>
        <v xml:space="preserve"> </v>
      </c>
      <c r="F41" s="38">
        <f>YTD!D41</f>
        <v>-4416.59</v>
      </c>
      <c r="J41" s="12"/>
      <c r="K41" s="12"/>
      <c r="L41" s="12"/>
    </row>
    <row r="42" spans="1:12" s="11" customFormat="1" x14ac:dyDescent="0.3">
      <c r="A42" t="s">
        <v>19</v>
      </c>
      <c r="C42" s="51">
        <v>50</v>
      </c>
      <c r="D42" s="31">
        <f t="shared" si="0"/>
        <v>-50</v>
      </c>
      <c r="E42" s="44" t="str">
        <f>YTD!C42</f>
        <v xml:space="preserve"> </v>
      </c>
      <c r="F42" s="38">
        <f>YTD!D42</f>
        <v>-50</v>
      </c>
      <c r="J42" s="12"/>
      <c r="K42" s="12"/>
      <c r="L42" s="12"/>
    </row>
    <row r="43" spans="1:12" s="11" customFormat="1" x14ac:dyDescent="0.3">
      <c r="A43" t="s">
        <v>23</v>
      </c>
      <c r="C43" s="51">
        <v>12000</v>
      </c>
      <c r="D43" s="31">
        <f t="shared" si="0"/>
        <v>-11599.43</v>
      </c>
      <c r="E43" s="44" t="str">
        <f>YTD!C43</f>
        <v xml:space="preserve"> </v>
      </c>
      <c r="F43" s="38">
        <f>YTD!D43</f>
        <v>-11599.43</v>
      </c>
      <c r="J43" s="12"/>
      <c r="K43" s="12"/>
      <c r="L43" s="12"/>
    </row>
    <row r="44" spans="1:12" s="11" customFormat="1" x14ac:dyDescent="0.3">
      <c r="A44" t="s">
        <v>11</v>
      </c>
      <c r="C44" s="51">
        <v>1000</v>
      </c>
      <c r="D44" s="31">
        <f t="shared" si="0"/>
        <v>-1595.51</v>
      </c>
      <c r="E44" s="44" t="str">
        <f>YTD!C44</f>
        <v xml:space="preserve"> </v>
      </c>
      <c r="F44" s="38">
        <f>YTD!D44</f>
        <v>-1595.51</v>
      </c>
      <c r="J44" s="12"/>
      <c r="K44" s="12"/>
      <c r="L44" s="12"/>
    </row>
    <row r="45" spans="1:12" s="11" customFormat="1" x14ac:dyDescent="0.3">
      <c r="A45" t="s">
        <v>4</v>
      </c>
      <c r="C45" s="51">
        <v>5000</v>
      </c>
      <c r="D45" s="31">
        <f t="shared" si="0"/>
        <v>-4642.16</v>
      </c>
      <c r="E45" s="44" t="str">
        <f>YTD!C45</f>
        <v xml:space="preserve"> </v>
      </c>
      <c r="F45" s="38">
        <f>YTD!D45</f>
        <v>-4642.16</v>
      </c>
      <c r="J45" s="12"/>
      <c r="K45" s="12"/>
      <c r="L45" s="12"/>
    </row>
    <row r="46" spans="1:12" s="11" customFormat="1" x14ac:dyDescent="0.3">
      <c r="A46" s="30" t="s">
        <v>2</v>
      </c>
      <c r="C46" s="45"/>
      <c r="D46" s="39"/>
      <c r="E46" s="46"/>
      <c r="F46" s="36"/>
      <c r="J46" s="12"/>
      <c r="K46" s="12"/>
      <c r="L46" s="12"/>
    </row>
    <row r="47" spans="1:12" s="11" customFormat="1" x14ac:dyDescent="0.3">
      <c r="A47" t="s">
        <v>51</v>
      </c>
      <c r="C47" s="51">
        <f>SUM(C13:C46)</f>
        <v>122301.37</v>
      </c>
      <c r="D47" s="31">
        <f t="shared" ref="D47:F47" si="1">SUM(D13:D46)</f>
        <v>79245.140000000029</v>
      </c>
      <c r="E47" s="31">
        <f t="shared" si="1"/>
        <v>161265.99</v>
      </c>
      <c r="F47" s="31">
        <f t="shared" si="1"/>
        <v>-82020.85000000002</v>
      </c>
      <c r="J47" s="12"/>
      <c r="K47" s="12"/>
      <c r="L47" s="12"/>
    </row>
    <row r="48" spans="1:12" x14ac:dyDescent="0.3">
      <c r="C48" s="45"/>
      <c r="D48" s="45"/>
      <c r="E48" s="46"/>
      <c r="F48" s="46"/>
      <c r="J48" s="2"/>
      <c r="K48" s="2"/>
      <c r="L48" s="2"/>
    </row>
    <row r="49" spans="1:12" x14ac:dyDescent="0.3">
      <c r="A49" s="6" t="s">
        <v>3</v>
      </c>
      <c r="B49" s="7"/>
      <c r="C49" s="41" t="s">
        <v>75</v>
      </c>
      <c r="D49" s="42" t="s">
        <v>76</v>
      </c>
      <c r="E49" s="43" t="s">
        <v>66</v>
      </c>
      <c r="F49" s="43" t="s">
        <v>67</v>
      </c>
      <c r="J49" s="9"/>
      <c r="K49" s="9"/>
      <c r="L49" s="9"/>
    </row>
    <row r="50" spans="1:12" x14ac:dyDescent="0.3">
      <c r="C50" s="45"/>
      <c r="D50" s="45"/>
      <c r="E50" s="46"/>
      <c r="F50" s="46"/>
      <c r="J50" s="2"/>
      <c r="K50" s="2"/>
      <c r="L50" s="2"/>
    </row>
    <row r="51" spans="1:12" x14ac:dyDescent="0.3">
      <c r="A51" t="s">
        <v>69</v>
      </c>
      <c r="C51" s="51">
        <v>500</v>
      </c>
      <c r="D51" s="31">
        <f>E51+F51</f>
        <v>36.400000000000006</v>
      </c>
      <c r="E51" s="44">
        <f>YTD!C51</f>
        <v>163</v>
      </c>
      <c r="F51" s="38">
        <f>YTD!D51</f>
        <v>-126.6</v>
      </c>
      <c r="J51" s="2"/>
      <c r="K51" s="2"/>
      <c r="L51" s="2"/>
    </row>
    <row r="52" spans="1:12" x14ac:dyDescent="0.3">
      <c r="A52" t="s">
        <v>72</v>
      </c>
      <c r="C52" s="51">
        <v>250</v>
      </c>
      <c r="D52" s="31">
        <f t="shared" ref="D52:D54" si="2">E52+F52</f>
        <v>-292.85000000000002</v>
      </c>
      <c r="E52" s="44">
        <v>0</v>
      </c>
      <c r="F52" s="38">
        <f>YTD!D52</f>
        <v>-292.85000000000002</v>
      </c>
      <c r="J52" s="2"/>
      <c r="K52" s="2"/>
      <c r="L52" s="2"/>
    </row>
    <row r="53" spans="1:12" x14ac:dyDescent="0.3">
      <c r="C53" s="31" t="s">
        <v>2</v>
      </c>
      <c r="D53" s="31" t="s">
        <v>2</v>
      </c>
      <c r="E53" s="44" t="s">
        <v>2</v>
      </c>
      <c r="F53" s="38" t="s">
        <v>2</v>
      </c>
      <c r="G53" t="s">
        <v>2</v>
      </c>
      <c r="J53" s="2"/>
      <c r="K53" s="2"/>
      <c r="L53" s="2"/>
    </row>
    <row r="54" spans="1:12" x14ac:dyDescent="0.3">
      <c r="A54" t="s">
        <v>52</v>
      </c>
      <c r="C54" s="51">
        <f>SUM(C51:C53)</f>
        <v>750</v>
      </c>
      <c r="D54" s="31">
        <f t="shared" si="2"/>
        <v>-256.45000000000005</v>
      </c>
      <c r="E54" s="44">
        <f>SUM(E51:E52)</f>
        <v>163</v>
      </c>
      <c r="F54" s="38">
        <f>SUM(F51:F52)</f>
        <v>-419.45000000000005</v>
      </c>
      <c r="J54" s="2"/>
      <c r="K54" s="2"/>
      <c r="L54" s="2"/>
    </row>
    <row r="55" spans="1:12" x14ac:dyDescent="0.3">
      <c r="C55" s="31" t="s">
        <v>2</v>
      </c>
      <c r="D55" s="37" t="s">
        <v>2</v>
      </c>
      <c r="E55" s="44" t="s">
        <v>2</v>
      </c>
      <c r="F55" s="38" t="s">
        <v>2</v>
      </c>
      <c r="G55" t="s">
        <v>2</v>
      </c>
      <c r="J55" s="2"/>
      <c r="K55" s="2"/>
      <c r="L55" s="2"/>
    </row>
    <row r="56" spans="1:12" x14ac:dyDescent="0.3">
      <c r="A56" s="6" t="s">
        <v>62</v>
      </c>
      <c r="B56" s="7"/>
      <c r="C56" s="41" t="s">
        <v>75</v>
      </c>
      <c r="D56" s="42" t="s">
        <v>76</v>
      </c>
      <c r="E56" s="43" t="s">
        <v>66</v>
      </c>
      <c r="F56" s="43" t="s">
        <v>67</v>
      </c>
      <c r="J56" s="2"/>
      <c r="K56" s="2"/>
      <c r="L56" s="2"/>
    </row>
    <row r="57" spans="1:12" x14ac:dyDescent="0.3">
      <c r="C57" s="31" t="s">
        <v>2</v>
      </c>
      <c r="D57" s="37" t="s">
        <v>2</v>
      </c>
      <c r="E57" s="44" t="s">
        <v>2</v>
      </c>
      <c r="F57" s="38" t="s">
        <v>2</v>
      </c>
      <c r="J57" s="2"/>
      <c r="K57" s="2"/>
      <c r="L57" s="2"/>
    </row>
    <row r="58" spans="1:12" x14ac:dyDescent="0.3">
      <c r="A58" t="s">
        <v>44</v>
      </c>
      <c r="C58" s="31"/>
      <c r="D58" s="31"/>
      <c r="E58" s="44"/>
      <c r="F58" s="38"/>
    </row>
    <row r="59" spans="1:12" x14ac:dyDescent="0.3">
      <c r="A59" s="47" t="s">
        <v>12</v>
      </c>
      <c r="C59" s="51">
        <v>19000</v>
      </c>
      <c r="D59" s="31">
        <f>SUM(E59:F59)</f>
        <v>2125.3199999999997</v>
      </c>
      <c r="E59" s="44">
        <f>YTD!C59</f>
        <v>21925.32</v>
      </c>
      <c r="F59" s="38">
        <f>YTD!D59</f>
        <v>-19800</v>
      </c>
      <c r="J59" s="2"/>
      <c r="K59" s="2"/>
      <c r="L59" s="2"/>
    </row>
    <row r="60" spans="1:12" x14ac:dyDescent="0.3">
      <c r="A60" s="47" t="s">
        <v>13</v>
      </c>
      <c r="C60" s="51">
        <v>29000</v>
      </c>
      <c r="D60" s="31">
        <f t="shared" ref="D60:D68" si="3">SUM(E60:F60)</f>
        <v>580</v>
      </c>
      <c r="E60" s="44">
        <f>YTD!C60</f>
        <v>37680</v>
      </c>
      <c r="F60" s="38">
        <f>YTD!D60</f>
        <v>-37100</v>
      </c>
      <c r="J60" s="2"/>
      <c r="K60" s="2"/>
      <c r="L60" s="2"/>
    </row>
    <row r="61" spans="1:12" x14ac:dyDescent="0.3">
      <c r="A61" s="47" t="s">
        <v>14</v>
      </c>
      <c r="C61" s="51">
        <v>3000</v>
      </c>
      <c r="D61" s="31">
        <f t="shared" si="3"/>
        <v>410</v>
      </c>
      <c r="E61" s="44">
        <f>YTD!C61</f>
        <v>3340</v>
      </c>
      <c r="F61" s="38">
        <f>YTD!D61</f>
        <v>-2930</v>
      </c>
      <c r="J61" s="2"/>
      <c r="K61" s="2"/>
      <c r="L61" s="2"/>
    </row>
    <row r="62" spans="1:12" x14ac:dyDescent="0.3">
      <c r="A62" s="47" t="s">
        <v>15</v>
      </c>
      <c r="C62" s="51">
        <v>25000</v>
      </c>
      <c r="D62" s="31">
        <f t="shared" si="3"/>
        <v>12380</v>
      </c>
      <c r="E62" s="44">
        <f>YTD!C62</f>
        <v>34240</v>
      </c>
      <c r="F62" s="38">
        <f>YTD!D62</f>
        <v>-21860</v>
      </c>
      <c r="J62" s="2"/>
      <c r="K62" s="2"/>
      <c r="L62" s="2"/>
    </row>
    <row r="63" spans="1:12" x14ac:dyDescent="0.3">
      <c r="A63" s="47" t="s">
        <v>73</v>
      </c>
      <c r="C63" s="51">
        <v>2500</v>
      </c>
      <c r="D63" s="37">
        <f t="shared" si="3"/>
        <v>-1470</v>
      </c>
      <c r="E63" s="44">
        <f>YTD!C63</f>
        <v>600</v>
      </c>
      <c r="F63" s="38">
        <f>YTD!D63</f>
        <v>-2070</v>
      </c>
      <c r="J63" s="2"/>
      <c r="K63" s="2"/>
      <c r="L63" s="2"/>
    </row>
    <row r="64" spans="1:12" x14ac:dyDescent="0.3">
      <c r="A64" s="47" t="s">
        <v>83</v>
      </c>
      <c r="C64" s="31" t="s">
        <v>2</v>
      </c>
      <c r="D64" s="31">
        <f t="shared" si="3"/>
        <v>750</v>
      </c>
      <c r="E64" s="44">
        <f>YTD!C64</f>
        <v>750</v>
      </c>
      <c r="F64" s="38">
        <v>0</v>
      </c>
      <c r="J64" s="3"/>
      <c r="K64" s="3"/>
      <c r="L64" s="3"/>
    </row>
    <row r="65" spans="1:12" x14ac:dyDescent="0.3">
      <c r="A65" t="s">
        <v>68</v>
      </c>
      <c r="C65" s="51">
        <v>0</v>
      </c>
      <c r="D65" s="37">
        <f t="shared" si="3"/>
        <v>-933.79</v>
      </c>
      <c r="E65" s="44" t="str">
        <f>YTD!C65</f>
        <v xml:space="preserve"> </v>
      </c>
      <c r="F65" s="38">
        <f>YTD!D65</f>
        <v>-933.79</v>
      </c>
      <c r="J65" s="4"/>
      <c r="K65" s="1"/>
      <c r="L65" s="5"/>
    </row>
    <row r="66" spans="1:12" x14ac:dyDescent="0.3">
      <c r="A66" t="s">
        <v>39</v>
      </c>
      <c r="C66" s="51">
        <v>775</v>
      </c>
      <c r="D66" s="37">
        <f t="shared" si="3"/>
        <v>-1414.03</v>
      </c>
      <c r="E66" s="44" t="str">
        <f>YTD!C66</f>
        <v xml:space="preserve"> </v>
      </c>
      <c r="F66" s="38">
        <f>YTD!D66</f>
        <v>-1414.03</v>
      </c>
      <c r="G66" t="s">
        <v>2</v>
      </c>
    </row>
    <row r="67" spans="1:12" x14ac:dyDescent="0.3">
      <c r="A67" t="s">
        <v>45</v>
      </c>
      <c r="C67" s="51">
        <v>500</v>
      </c>
      <c r="D67" s="37">
        <f t="shared" si="3"/>
        <v>0</v>
      </c>
      <c r="E67" s="44" t="str">
        <f>YTD!C67</f>
        <v xml:space="preserve"> </v>
      </c>
      <c r="F67" s="38" t="str">
        <f>YTD!D67</f>
        <v xml:space="preserve"> </v>
      </c>
    </row>
    <row r="68" spans="1:12" x14ac:dyDescent="0.3">
      <c r="A68" t="s">
        <v>74</v>
      </c>
      <c r="C68" s="51">
        <v>500</v>
      </c>
      <c r="D68" s="37">
        <f t="shared" si="3"/>
        <v>-747.28</v>
      </c>
      <c r="E68" s="44" t="str">
        <f>YTD!C68</f>
        <v xml:space="preserve"> </v>
      </c>
      <c r="F68" s="38">
        <f>YTD!D68</f>
        <v>-747.28</v>
      </c>
    </row>
    <row r="69" spans="1:12" x14ac:dyDescent="0.3">
      <c r="C69" s="31"/>
      <c r="D69" s="31"/>
      <c r="E69" s="40"/>
      <c r="F69" s="40"/>
    </row>
    <row r="70" spans="1:12" x14ac:dyDescent="0.3">
      <c r="A70" t="s">
        <v>70</v>
      </c>
      <c r="C70" s="51">
        <f>SUM(C58:C69)</f>
        <v>80275</v>
      </c>
      <c r="D70" s="31">
        <f t="shared" ref="D70:F70" si="4">SUM(D58:D69)</f>
        <v>11680.219999999998</v>
      </c>
      <c r="E70" s="31">
        <f t="shared" si="4"/>
        <v>98535.32</v>
      </c>
      <c r="F70" s="31">
        <f t="shared" si="4"/>
        <v>-86855.099999999991</v>
      </c>
    </row>
    <row r="71" spans="1:12" x14ac:dyDescent="0.3">
      <c r="C71" s="31"/>
      <c r="D71" s="31"/>
      <c r="E71" s="40"/>
      <c r="F71" s="40"/>
    </row>
    <row r="72" spans="1:12" x14ac:dyDescent="0.3">
      <c r="A72" s="1" t="s">
        <v>53</v>
      </c>
      <c r="C72" s="51">
        <f>C70+C54+C47</f>
        <v>203326.37</v>
      </c>
      <c r="D72" s="31">
        <f>D70+D54+D47</f>
        <v>90668.910000000033</v>
      </c>
      <c r="E72" s="31">
        <f>E70+E54+E47</f>
        <v>259964.31</v>
      </c>
      <c r="F72" s="31">
        <f>F70+F54+F47</f>
        <v>-169295.40000000002</v>
      </c>
    </row>
  </sheetData>
  <pageMargins left="0.7" right="0.7" top="0.75" bottom="0.75" header="0.3" footer="0.3"/>
  <pageSetup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0E889-5D73-F04B-BFF4-0FBAD0EA85BB}">
  <sheetPr>
    <pageSetUpPr fitToPage="1"/>
  </sheetPr>
  <dimension ref="A1:P80"/>
  <sheetViews>
    <sheetView topLeftCell="A51" zoomScale="126" zoomScaleNormal="126" workbookViewId="0">
      <pane xSplit="1" topLeftCell="B1" activePane="topRight" state="frozen"/>
      <selection pane="topRight" activeCell="D78" sqref="D78"/>
    </sheetView>
  </sheetViews>
  <sheetFormatPr defaultColWidth="8.77734375" defaultRowHeight="14.4" x14ac:dyDescent="0.3"/>
  <cols>
    <col min="1" max="1" width="32.6640625" bestFit="1" customWidth="1"/>
    <col min="2" max="2" width="4.33203125" customWidth="1"/>
    <col min="3" max="3" width="24.33203125" bestFit="1" customWidth="1"/>
    <col min="4" max="4" width="23" style="13" customWidth="1"/>
    <col min="5" max="5" width="21.77734375" style="21" customWidth="1"/>
    <col min="6" max="6" width="23" style="13" customWidth="1"/>
    <col min="7" max="7" width="20.77734375" style="21" customWidth="1"/>
    <col min="8" max="8" width="21.77734375" customWidth="1"/>
    <col min="9" max="9" width="20.6640625" style="21" customWidth="1"/>
    <col min="10" max="10" width="19.33203125" customWidth="1"/>
    <col min="11" max="11" width="14.109375" style="21" customWidth="1"/>
    <col min="12" max="12" width="18.77734375" customWidth="1"/>
    <col min="13" max="13" width="2.44140625" customWidth="1"/>
    <col min="14" max="14" width="17.6640625" customWidth="1"/>
  </cols>
  <sheetData>
    <row r="1" spans="1:16" ht="18" x14ac:dyDescent="0.35">
      <c r="A1" s="10" t="s">
        <v>57</v>
      </c>
      <c r="B1" s="10"/>
      <c r="C1" s="29" t="s">
        <v>48</v>
      </c>
      <c r="E1" s="58"/>
      <c r="G1" s="20" t="s">
        <v>2</v>
      </c>
    </row>
    <row r="2" spans="1:16" ht="18" x14ac:dyDescent="0.35">
      <c r="A2" s="19" t="str">
        <f>Monthly!A2</f>
        <v>Updated 8/16/2024</v>
      </c>
      <c r="B2" s="10"/>
      <c r="G2" s="20"/>
    </row>
    <row r="4" spans="1:16" x14ac:dyDescent="0.3">
      <c r="A4" s="1" t="s">
        <v>0</v>
      </c>
      <c r="C4" s="2" t="s">
        <v>2</v>
      </c>
      <c r="D4" s="13">
        <f>Monthly!C4</f>
        <v>134379.91</v>
      </c>
      <c r="E4" s="22"/>
    </row>
    <row r="5" spans="1:16" x14ac:dyDescent="0.3">
      <c r="A5" s="1" t="s">
        <v>3</v>
      </c>
      <c r="C5" s="2" t="s">
        <v>2</v>
      </c>
      <c r="D5" s="13">
        <f>Monthly!C5</f>
        <v>1962.2</v>
      </c>
      <c r="E5" s="22"/>
      <c r="G5" s="21" t="s">
        <v>2</v>
      </c>
    </row>
    <row r="6" spans="1:16" x14ac:dyDescent="0.3">
      <c r="A6" s="1" t="s">
        <v>24</v>
      </c>
      <c r="C6" s="2" t="s">
        <v>2</v>
      </c>
      <c r="D6" s="13">
        <f>Monthly!C6</f>
        <v>16085.5</v>
      </c>
      <c r="E6" s="22"/>
    </row>
    <row r="7" spans="1:16" x14ac:dyDescent="0.3">
      <c r="A7" s="1" t="s">
        <v>62</v>
      </c>
      <c r="C7" s="2"/>
      <c r="D7" s="13">
        <f>Monthly!C7</f>
        <v>62067.07</v>
      </c>
      <c r="E7" s="22"/>
    </row>
    <row r="8" spans="1:16" x14ac:dyDescent="0.3">
      <c r="A8" s="1"/>
      <c r="G8" s="22"/>
    </row>
    <row r="9" spans="1:16" x14ac:dyDescent="0.3">
      <c r="A9" s="1" t="s">
        <v>43</v>
      </c>
      <c r="C9" s="12" t="str">
        <f>Monthly!A9</f>
        <v>Accounts Receivable (Officials)</v>
      </c>
      <c r="D9" s="31">
        <f>Monthly!C9</f>
        <v>-540.5</v>
      </c>
      <c r="E9" s="24"/>
      <c r="G9" s="22"/>
    </row>
    <row r="11" spans="1:16" x14ac:dyDescent="0.3">
      <c r="A11" s="6" t="s">
        <v>0</v>
      </c>
      <c r="B11" s="7"/>
      <c r="C11" s="8" t="s">
        <v>66</v>
      </c>
      <c r="D11" s="14" t="s">
        <v>67</v>
      </c>
      <c r="E11" s="23" t="s">
        <v>49</v>
      </c>
      <c r="F11" s="14" t="s">
        <v>50</v>
      </c>
      <c r="G11" s="23" t="s">
        <v>26</v>
      </c>
      <c r="H11" s="14" t="s">
        <v>28</v>
      </c>
      <c r="I11" s="23" t="s">
        <v>25</v>
      </c>
      <c r="J11" s="8" t="s">
        <v>29</v>
      </c>
      <c r="N11" s="9"/>
      <c r="O11" s="9"/>
      <c r="P11" s="9"/>
    </row>
    <row r="12" spans="1:16" s="11" customFormat="1" x14ac:dyDescent="0.3">
      <c r="A12" s="11" t="s">
        <v>2</v>
      </c>
      <c r="E12" s="24"/>
      <c r="F12" s="15" t="s">
        <v>2</v>
      </c>
      <c r="G12" s="24"/>
      <c r="H12" s="15" t="s">
        <v>2</v>
      </c>
      <c r="I12" s="24" t="s">
        <v>2</v>
      </c>
      <c r="J12" s="12"/>
      <c r="K12" s="59"/>
      <c r="N12" s="12"/>
      <c r="O12" s="12"/>
      <c r="P12" s="12"/>
    </row>
    <row r="13" spans="1:16" s="11" customFormat="1" x14ac:dyDescent="0.3">
      <c r="A13" t="s">
        <v>1</v>
      </c>
      <c r="C13" s="31">
        <v>48374.17</v>
      </c>
      <c r="D13" s="37">
        <v>-3228.91</v>
      </c>
      <c r="E13" s="54">
        <v>50874.83</v>
      </c>
      <c r="F13" s="49">
        <v>-1618.7</v>
      </c>
      <c r="G13" s="50">
        <v>45724.9</v>
      </c>
      <c r="H13" s="37">
        <v>-2084.1</v>
      </c>
      <c r="I13" s="50">
        <v>38268.17</v>
      </c>
      <c r="J13" s="37">
        <f>-346-397</f>
        <v>-743</v>
      </c>
      <c r="K13" s="59"/>
      <c r="N13" s="12"/>
      <c r="O13" s="12"/>
      <c r="P13" s="12"/>
    </row>
    <row r="14" spans="1:16" s="11" customFormat="1" x14ac:dyDescent="0.3">
      <c r="A14" s="30" t="s">
        <v>58</v>
      </c>
      <c r="B14"/>
      <c r="C14" s="31">
        <v>700</v>
      </c>
      <c r="D14" s="37" t="s">
        <v>2</v>
      </c>
      <c r="E14" s="54">
        <v>500</v>
      </c>
      <c r="F14" s="37"/>
      <c r="G14" s="55"/>
      <c r="H14" s="37"/>
      <c r="I14" s="55"/>
      <c r="J14" s="37"/>
      <c r="K14" s="59"/>
    </row>
    <row r="15" spans="1:16" s="11" customFormat="1" x14ac:dyDescent="0.3">
      <c r="A15" t="s">
        <v>22</v>
      </c>
      <c r="C15" s="31" t="s">
        <v>2</v>
      </c>
      <c r="D15" s="31">
        <v>245</v>
      </c>
      <c r="E15" s="50" t="s">
        <v>2</v>
      </c>
      <c r="F15" s="49">
        <v>-1185</v>
      </c>
      <c r="G15" s="55"/>
      <c r="H15" s="37">
        <v>-1665</v>
      </c>
      <c r="I15" s="50" t="s">
        <v>2</v>
      </c>
      <c r="J15" s="37">
        <v>-6050</v>
      </c>
      <c r="K15" s="59"/>
      <c r="N15" s="12"/>
      <c r="O15" s="12"/>
      <c r="P15" s="12"/>
    </row>
    <row r="16" spans="1:16" s="11" customFormat="1" x14ac:dyDescent="0.3">
      <c r="A16" s="30" t="s">
        <v>21</v>
      </c>
      <c r="C16" s="31" t="s">
        <v>2</v>
      </c>
      <c r="D16" s="37">
        <v>-2787.5</v>
      </c>
      <c r="E16" s="50" t="s">
        <v>2</v>
      </c>
      <c r="F16" s="49">
        <v>-2950</v>
      </c>
      <c r="G16" s="55"/>
      <c r="H16" s="37">
        <v>-2900</v>
      </c>
      <c r="I16" s="50" t="s">
        <v>2</v>
      </c>
      <c r="J16" s="37">
        <v>-2025</v>
      </c>
      <c r="K16" s="59"/>
      <c r="N16" s="12"/>
      <c r="O16" s="12"/>
      <c r="P16" s="12"/>
    </row>
    <row r="17" spans="1:16" s="11" customFormat="1" x14ac:dyDescent="0.3">
      <c r="A17" t="s">
        <v>5</v>
      </c>
      <c r="C17" s="31" t="s">
        <v>2</v>
      </c>
      <c r="D17" s="37" t="str">
        <f>Monthly!D17</f>
        <v xml:space="preserve"> </v>
      </c>
      <c r="E17" s="50" t="s">
        <v>2</v>
      </c>
      <c r="F17" s="49">
        <v>-4203.3999999999996</v>
      </c>
      <c r="G17" s="55"/>
      <c r="H17" s="37">
        <v>-789.76</v>
      </c>
      <c r="I17" s="50" t="s">
        <v>2</v>
      </c>
      <c r="J17" s="37">
        <v>-264</v>
      </c>
      <c r="K17" s="59"/>
      <c r="N17" s="12"/>
      <c r="O17" s="12"/>
      <c r="P17" s="12"/>
    </row>
    <row r="18" spans="1:16" s="11" customFormat="1" x14ac:dyDescent="0.3">
      <c r="A18" t="s">
        <v>59</v>
      </c>
      <c r="C18" s="31" t="s">
        <v>2</v>
      </c>
      <c r="D18" s="37">
        <v>-158.47</v>
      </c>
      <c r="E18" s="50"/>
      <c r="F18" s="49">
        <v>-241.97</v>
      </c>
      <c r="G18" s="55"/>
      <c r="H18" s="37"/>
      <c r="I18" s="50"/>
      <c r="J18" s="37"/>
      <c r="K18" s="59"/>
      <c r="N18" s="12"/>
      <c r="O18" s="12"/>
      <c r="P18" s="12"/>
    </row>
    <row r="19" spans="1:16" s="11" customFormat="1" x14ac:dyDescent="0.3">
      <c r="A19" t="s">
        <v>60</v>
      </c>
      <c r="C19" s="31" t="s">
        <v>2</v>
      </c>
      <c r="D19" s="37" t="s">
        <v>2</v>
      </c>
      <c r="E19" s="50" t="s">
        <v>2</v>
      </c>
      <c r="F19" s="37" t="s">
        <v>2</v>
      </c>
      <c r="G19" s="55"/>
      <c r="H19" s="37"/>
      <c r="I19" s="50" t="s">
        <v>2</v>
      </c>
      <c r="J19" s="37" t="s">
        <v>2</v>
      </c>
      <c r="K19" s="59"/>
      <c r="N19" s="12"/>
      <c r="O19" s="12"/>
      <c r="P19" s="12"/>
    </row>
    <row r="20" spans="1:16" s="11" customFormat="1" x14ac:dyDescent="0.3">
      <c r="A20" t="s">
        <v>30</v>
      </c>
      <c r="B20"/>
      <c r="C20" s="31" t="s">
        <v>2</v>
      </c>
      <c r="D20" s="37" t="str">
        <f>Monthly!D20</f>
        <v xml:space="preserve"> </v>
      </c>
      <c r="E20" s="50" t="s">
        <v>2</v>
      </c>
      <c r="F20" s="37" t="s">
        <v>2</v>
      </c>
      <c r="G20" s="56"/>
      <c r="H20" s="37"/>
      <c r="I20" s="50">
        <v>1597</v>
      </c>
      <c r="J20" s="37" t="s">
        <v>2</v>
      </c>
      <c r="K20" s="59"/>
      <c r="N20" s="12"/>
      <c r="O20" s="12"/>
      <c r="P20" s="12"/>
    </row>
    <row r="21" spans="1:16" s="11" customFormat="1" x14ac:dyDescent="0.3">
      <c r="A21" t="s">
        <v>33</v>
      </c>
      <c r="B21"/>
      <c r="C21" s="31" t="s">
        <v>2</v>
      </c>
      <c r="D21" s="37" t="s">
        <v>2</v>
      </c>
      <c r="E21" s="50" t="s">
        <v>2</v>
      </c>
      <c r="F21" s="37" t="s">
        <v>2</v>
      </c>
      <c r="G21" s="56"/>
      <c r="H21" s="37"/>
      <c r="I21" s="50">
        <v>3500</v>
      </c>
      <c r="J21" s="37" t="s">
        <v>2</v>
      </c>
      <c r="K21" s="59"/>
      <c r="N21" s="12"/>
      <c r="O21" s="12"/>
      <c r="P21" s="12"/>
    </row>
    <row r="22" spans="1:16" s="11" customFormat="1" x14ac:dyDescent="0.3">
      <c r="A22" t="s">
        <v>36</v>
      </c>
      <c r="B22"/>
      <c r="C22" s="31" t="s">
        <v>2</v>
      </c>
      <c r="D22" s="37" t="s">
        <v>2</v>
      </c>
      <c r="E22" s="50" t="s">
        <v>2</v>
      </c>
      <c r="F22" s="37" t="s">
        <v>2</v>
      </c>
      <c r="G22" s="56"/>
      <c r="H22" s="37"/>
      <c r="I22" s="50" t="s">
        <v>2</v>
      </c>
      <c r="J22" s="37" t="s">
        <v>2</v>
      </c>
      <c r="K22" s="59"/>
      <c r="N22" s="12"/>
      <c r="O22" s="12"/>
      <c r="P22" s="12"/>
    </row>
    <row r="23" spans="1:16" s="11" customFormat="1" x14ac:dyDescent="0.3">
      <c r="A23" s="47" t="s">
        <v>37</v>
      </c>
      <c r="B23"/>
      <c r="C23" s="31" t="str">
        <f>Monthly!C23</f>
        <v xml:space="preserve"> </v>
      </c>
      <c r="D23" s="37">
        <v>-1690</v>
      </c>
      <c r="E23" s="54">
        <v>3106.8</v>
      </c>
      <c r="F23" s="49">
        <f>-1980.72-1609.03</f>
        <v>-3589.75</v>
      </c>
      <c r="G23" s="56">
        <v>2977.3</v>
      </c>
      <c r="H23" s="37">
        <v>-3317.46</v>
      </c>
      <c r="I23" s="50">
        <v>2640</v>
      </c>
      <c r="J23" s="37">
        <f>-1918.5-1685-700</f>
        <v>-4303.5</v>
      </c>
      <c r="K23" s="59"/>
      <c r="N23" s="12"/>
      <c r="O23" s="12"/>
      <c r="P23" s="12"/>
    </row>
    <row r="24" spans="1:16" s="11" customFormat="1" x14ac:dyDescent="0.3">
      <c r="A24" s="47" t="s">
        <v>38</v>
      </c>
      <c r="B24"/>
      <c r="C24" s="31" t="str">
        <f>Monthly!C24</f>
        <v xml:space="preserve"> </v>
      </c>
      <c r="D24" s="37" t="str">
        <f>Monthly!D24</f>
        <v xml:space="preserve"> </v>
      </c>
      <c r="E24" s="50" t="s">
        <v>2</v>
      </c>
      <c r="F24" s="37" t="s">
        <v>2</v>
      </c>
      <c r="G24" s="56" t="s">
        <v>2</v>
      </c>
      <c r="H24" s="37" t="s">
        <v>2</v>
      </c>
      <c r="I24" s="50" t="s">
        <v>2</v>
      </c>
      <c r="J24" s="37">
        <f>-131-100</f>
        <v>-231</v>
      </c>
      <c r="K24" s="59"/>
      <c r="N24" s="12"/>
      <c r="O24" s="12"/>
      <c r="P24" s="12"/>
    </row>
    <row r="25" spans="1:16" s="11" customFormat="1" x14ac:dyDescent="0.3">
      <c r="A25" t="s">
        <v>40</v>
      </c>
      <c r="B25"/>
      <c r="C25" s="31">
        <v>405</v>
      </c>
      <c r="D25" s="37">
        <v>-100</v>
      </c>
      <c r="E25" s="54">
        <v>360</v>
      </c>
      <c r="F25" s="49">
        <v>-797.09</v>
      </c>
      <c r="G25" s="56">
        <v>440</v>
      </c>
      <c r="H25" s="37">
        <f>-155.59-125</f>
        <v>-280.59000000000003</v>
      </c>
      <c r="I25" s="50" t="s">
        <v>2</v>
      </c>
      <c r="J25" s="37" t="s">
        <v>2</v>
      </c>
      <c r="K25" s="59"/>
      <c r="N25" s="12"/>
      <c r="O25" s="12"/>
      <c r="P25" s="12"/>
    </row>
    <row r="26" spans="1:16" s="11" customFormat="1" x14ac:dyDescent="0.3">
      <c r="A26" t="s">
        <v>32</v>
      </c>
      <c r="B26"/>
      <c r="C26" s="31" t="str">
        <f>Monthly!C26</f>
        <v xml:space="preserve"> </v>
      </c>
      <c r="D26" s="37" t="str">
        <f>Monthly!D26</f>
        <v xml:space="preserve"> </v>
      </c>
      <c r="E26" s="50" t="s">
        <v>2</v>
      </c>
      <c r="F26" s="37" t="s">
        <v>2</v>
      </c>
      <c r="G26" s="56"/>
      <c r="H26" s="37"/>
      <c r="I26" s="50" t="s">
        <v>2</v>
      </c>
      <c r="J26" s="37" t="s">
        <v>2</v>
      </c>
      <c r="K26" s="59"/>
      <c r="N26" s="12"/>
      <c r="O26" s="12"/>
      <c r="P26" s="12"/>
    </row>
    <row r="27" spans="1:16" s="11" customFormat="1" x14ac:dyDescent="0.3">
      <c r="A27" t="s">
        <v>34</v>
      </c>
      <c r="B27"/>
      <c r="C27" s="31">
        <v>1855</v>
      </c>
      <c r="D27" s="37">
        <v>-2663.03</v>
      </c>
      <c r="E27" s="54">
        <v>1370</v>
      </c>
      <c r="F27" s="49">
        <f>-981.12-980</f>
        <v>-1961.12</v>
      </c>
      <c r="G27" s="56">
        <v>19323.099999999999</v>
      </c>
      <c r="H27" s="37">
        <v>-12611.87</v>
      </c>
      <c r="I27" s="50">
        <f>1875+55+3045</f>
        <v>4975</v>
      </c>
      <c r="J27" s="37">
        <f>-3570-2730-1050</f>
        <v>-7350</v>
      </c>
      <c r="K27" s="59"/>
      <c r="N27" s="12"/>
      <c r="O27" s="12"/>
      <c r="P27" s="12"/>
    </row>
    <row r="28" spans="1:16" s="11" customFormat="1" x14ac:dyDescent="0.3">
      <c r="A28" s="47" t="s">
        <v>55</v>
      </c>
      <c r="B28"/>
      <c r="C28" s="31">
        <v>27453.1</v>
      </c>
      <c r="D28" s="37">
        <f>-7558.1-7300</f>
        <v>-14858.1</v>
      </c>
      <c r="E28" s="54">
        <v>32101</v>
      </c>
      <c r="F28" s="49">
        <f>-7950.72-5375</f>
        <v>-13325.720000000001</v>
      </c>
      <c r="G28" s="55"/>
      <c r="H28" s="37"/>
      <c r="I28" s="55"/>
      <c r="J28" s="37"/>
      <c r="K28" s="24"/>
      <c r="L28" s="12"/>
    </row>
    <row r="29" spans="1:16" s="11" customFormat="1" x14ac:dyDescent="0.3">
      <c r="A29" s="47" t="s">
        <v>54</v>
      </c>
      <c r="B29"/>
      <c r="C29" s="31">
        <v>81750.720000000001</v>
      </c>
      <c r="D29" s="37">
        <f>-7558.1-14975</f>
        <v>-22533.1</v>
      </c>
      <c r="E29" s="54">
        <v>21369.360000000001</v>
      </c>
      <c r="F29" s="49">
        <f>-10028.65-8000</f>
        <v>-18028.650000000001</v>
      </c>
      <c r="G29" s="55"/>
      <c r="H29" s="37"/>
      <c r="I29" s="55"/>
      <c r="J29" s="37"/>
      <c r="K29" s="24"/>
      <c r="L29" s="12"/>
    </row>
    <row r="30" spans="1:16" s="11" customFormat="1" x14ac:dyDescent="0.3">
      <c r="A30" t="s">
        <v>35</v>
      </c>
      <c r="B30"/>
      <c r="C30" s="31">
        <f>Monthly!C30</f>
        <v>528</v>
      </c>
      <c r="D30" s="37">
        <v>-325.37</v>
      </c>
      <c r="E30" s="54">
        <v>1308.95</v>
      </c>
      <c r="F30" s="49">
        <f>-625-550</f>
        <v>-1175</v>
      </c>
      <c r="G30" s="56">
        <v>1183</v>
      </c>
      <c r="H30" s="37">
        <v>-1424.96</v>
      </c>
      <c r="I30" s="50">
        <v>546</v>
      </c>
      <c r="J30" s="37">
        <v>-177</v>
      </c>
      <c r="K30" s="59"/>
      <c r="N30" s="12"/>
      <c r="O30" s="12"/>
      <c r="P30" s="12"/>
    </row>
    <row r="31" spans="1:16" s="11" customFormat="1" x14ac:dyDescent="0.3">
      <c r="A31" t="s">
        <v>71</v>
      </c>
      <c r="C31" s="31" t="str">
        <f>Monthly!C31</f>
        <v xml:space="preserve"> </v>
      </c>
      <c r="D31" s="37" t="str">
        <f>Monthly!D31</f>
        <v xml:space="preserve"> </v>
      </c>
      <c r="E31" s="54">
        <v>1801.37</v>
      </c>
      <c r="F31" s="49">
        <v>-1679.39</v>
      </c>
      <c r="G31" s="50">
        <v>5000</v>
      </c>
      <c r="H31" s="37">
        <v>-840.58</v>
      </c>
      <c r="I31" s="50" t="s">
        <v>2</v>
      </c>
      <c r="J31" s="37">
        <v>-705</v>
      </c>
      <c r="K31" s="59"/>
      <c r="N31" s="12"/>
      <c r="O31" s="12"/>
      <c r="P31" s="12"/>
    </row>
    <row r="32" spans="1:16" s="11" customFormat="1" x14ac:dyDescent="0.3">
      <c r="A32" t="s">
        <v>17</v>
      </c>
      <c r="C32" s="31" t="s">
        <v>2</v>
      </c>
      <c r="D32" s="37">
        <v>-5431.04</v>
      </c>
      <c r="E32" s="50" t="s">
        <v>2</v>
      </c>
      <c r="F32" s="49">
        <v>-2598.42</v>
      </c>
      <c r="G32" s="55"/>
      <c r="H32" s="37">
        <v>-1406.82</v>
      </c>
      <c r="I32" s="50" t="s">
        <v>2</v>
      </c>
      <c r="J32" s="37" t="s">
        <v>2</v>
      </c>
      <c r="K32" s="59"/>
      <c r="N32" s="12"/>
      <c r="O32" s="12"/>
      <c r="P32" s="12"/>
    </row>
    <row r="33" spans="1:16" s="11" customFormat="1" x14ac:dyDescent="0.3">
      <c r="A33" t="s">
        <v>6</v>
      </c>
      <c r="C33" s="31">
        <v>200</v>
      </c>
      <c r="D33" s="37">
        <v>-718.17</v>
      </c>
      <c r="E33" s="50" t="s">
        <v>2</v>
      </c>
      <c r="F33" s="49">
        <v>-3976.02</v>
      </c>
      <c r="G33" s="55"/>
      <c r="H33" s="37">
        <v>-1089.1300000000001</v>
      </c>
      <c r="I33" s="50" t="s">
        <v>2</v>
      </c>
      <c r="J33" s="37">
        <f>-563-45</f>
        <v>-608</v>
      </c>
      <c r="K33" s="59"/>
      <c r="N33" s="12"/>
      <c r="O33" s="12"/>
      <c r="P33" s="12"/>
    </row>
    <row r="34" spans="1:16" s="11" customFormat="1" x14ac:dyDescent="0.3">
      <c r="A34" s="47" t="s">
        <v>47</v>
      </c>
      <c r="C34" s="31" t="str">
        <f>Monthly!C34</f>
        <v xml:space="preserve"> </v>
      </c>
      <c r="D34" s="31">
        <v>835</v>
      </c>
      <c r="E34" s="50" t="s">
        <v>2</v>
      </c>
      <c r="F34" s="48">
        <v>-20811.61</v>
      </c>
      <c r="G34" s="56"/>
      <c r="H34" s="37">
        <v>-25132.39</v>
      </c>
      <c r="I34" s="50" t="s">
        <v>2</v>
      </c>
      <c r="J34" s="37">
        <f>-1500-346-330</f>
        <v>-2176</v>
      </c>
      <c r="K34" s="59"/>
      <c r="N34" s="12"/>
      <c r="O34" s="12"/>
      <c r="P34" s="12"/>
    </row>
    <row r="35" spans="1:16" s="11" customFormat="1" x14ac:dyDescent="0.3">
      <c r="A35" t="s">
        <v>42</v>
      </c>
      <c r="C35" s="31" t="s">
        <v>2</v>
      </c>
      <c r="D35" s="37">
        <f>-398.27-2086.89</f>
        <v>-2485.16</v>
      </c>
      <c r="E35" s="50" t="s">
        <v>2</v>
      </c>
      <c r="F35" s="49">
        <f>-92.06-3072.94</f>
        <v>-3165</v>
      </c>
      <c r="G35" s="55"/>
      <c r="H35" s="37">
        <v>-3117.93</v>
      </c>
      <c r="I35" s="50" t="s">
        <v>2</v>
      </c>
      <c r="J35" s="37" t="s">
        <v>2</v>
      </c>
      <c r="K35" s="59"/>
      <c r="N35" s="12"/>
      <c r="O35" s="12"/>
      <c r="P35" s="12"/>
    </row>
    <row r="36" spans="1:16" s="11" customFormat="1" x14ac:dyDescent="0.3">
      <c r="A36" t="s">
        <v>7</v>
      </c>
      <c r="C36" s="31" t="s">
        <v>2</v>
      </c>
      <c r="D36" s="37">
        <v>-558.08000000000004</v>
      </c>
      <c r="E36" s="50" t="s">
        <v>2</v>
      </c>
      <c r="F36" s="49">
        <v>-934.16</v>
      </c>
      <c r="G36" s="55"/>
      <c r="H36" s="37">
        <v>-2767.04</v>
      </c>
      <c r="I36" s="50" t="s">
        <v>2</v>
      </c>
      <c r="J36" s="37">
        <f>-168-390</f>
        <v>-558</v>
      </c>
      <c r="K36" s="59"/>
      <c r="N36" s="12"/>
      <c r="O36" s="12"/>
      <c r="P36" s="12"/>
    </row>
    <row r="37" spans="1:16" s="11" customFormat="1" x14ac:dyDescent="0.3">
      <c r="A37" t="s">
        <v>8</v>
      </c>
      <c r="C37" s="31" t="s">
        <v>2</v>
      </c>
      <c r="D37" s="37">
        <v>-1641.14</v>
      </c>
      <c r="E37" s="50" t="s">
        <v>2</v>
      </c>
      <c r="F37" s="49">
        <v>-2264.7399999999998</v>
      </c>
      <c r="G37" s="55"/>
      <c r="H37" s="37">
        <v>-1197</v>
      </c>
      <c r="I37" s="50" t="s">
        <v>2</v>
      </c>
      <c r="J37" s="37">
        <v>-2388</v>
      </c>
      <c r="K37" s="59"/>
      <c r="N37" s="12"/>
      <c r="O37" s="12"/>
      <c r="P37" s="12"/>
    </row>
    <row r="38" spans="1:16" s="11" customFormat="1" x14ac:dyDescent="0.3">
      <c r="A38" t="s">
        <v>9</v>
      </c>
      <c r="C38" s="31" t="s">
        <v>2</v>
      </c>
      <c r="D38" s="37">
        <v>-73.11</v>
      </c>
      <c r="E38" s="50" t="s">
        <v>2</v>
      </c>
      <c r="F38" s="49">
        <v>-824.01</v>
      </c>
      <c r="G38" s="55"/>
      <c r="H38" s="37">
        <v>-866.06</v>
      </c>
      <c r="I38" s="50" t="s">
        <v>2</v>
      </c>
      <c r="J38" s="37">
        <v>-744</v>
      </c>
      <c r="K38" s="59"/>
      <c r="N38" s="12"/>
      <c r="O38" s="12"/>
      <c r="P38" s="12"/>
    </row>
    <row r="39" spans="1:16" s="11" customFormat="1" x14ac:dyDescent="0.3">
      <c r="A39" t="s">
        <v>20</v>
      </c>
      <c r="C39" s="31" t="s">
        <v>78</v>
      </c>
      <c r="D39" s="37" t="str">
        <f>Monthly!D39</f>
        <v xml:space="preserve"> </v>
      </c>
      <c r="E39" s="50" t="s">
        <v>2</v>
      </c>
      <c r="F39" s="37" t="s">
        <v>2</v>
      </c>
      <c r="G39" s="55"/>
      <c r="H39" s="37">
        <v>-824</v>
      </c>
      <c r="I39" s="50" t="s">
        <v>2</v>
      </c>
      <c r="J39" s="49" t="s">
        <v>2</v>
      </c>
      <c r="K39" s="59"/>
      <c r="N39" s="12"/>
      <c r="O39" s="12"/>
      <c r="P39" s="12"/>
    </row>
    <row r="40" spans="1:16" s="11" customFormat="1" x14ac:dyDescent="0.3">
      <c r="A40" t="s">
        <v>10</v>
      </c>
      <c r="C40" s="31" t="s">
        <v>2</v>
      </c>
      <c r="D40" s="37">
        <f>-1256.2-289.78</f>
        <v>-1545.98</v>
      </c>
      <c r="E40" s="50" t="s">
        <v>2</v>
      </c>
      <c r="F40" s="49">
        <f>-2107.41+515.25-99.99</f>
        <v>-1692.1499999999999</v>
      </c>
      <c r="G40" s="55"/>
      <c r="H40" s="37">
        <v>-1323.76</v>
      </c>
      <c r="I40" s="50" t="s">
        <v>2</v>
      </c>
      <c r="J40" s="37">
        <v>-548</v>
      </c>
      <c r="K40" s="59"/>
      <c r="N40" s="12"/>
      <c r="O40" s="12"/>
      <c r="P40" s="12"/>
    </row>
    <row r="41" spans="1:16" s="11" customFormat="1" x14ac:dyDescent="0.3">
      <c r="A41" t="s">
        <v>18</v>
      </c>
      <c r="C41" s="31" t="s">
        <v>2</v>
      </c>
      <c r="D41" s="37">
        <v>-4416.59</v>
      </c>
      <c r="E41" s="50" t="s">
        <v>2</v>
      </c>
      <c r="F41" s="49">
        <v>-6378.56</v>
      </c>
      <c r="G41" s="55"/>
      <c r="H41" s="37">
        <v>-6280</v>
      </c>
      <c r="I41" s="50" t="s">
        <v>2</v>
      </c>
      <c r="J41" s="37">
        <v>-4615</v>
      </c>
      <c r="K41" s="59"/>
      <c r="N41" s="12"/>
      <c r="O41" s="12"/>
      <c r="P41" s="12"/>
    </row>
    <row r="42" spans="1:16" s="11" customFormat="1" x14ac:dyDescent="0.3">
      <c r="A42" t="s">
        <v>19</v>
      </c>
      <c r="C42" s="31" t="s">
        <v>2</v>
      </c>
      <c r="D42" s="37">
        <v>-50</v>
      </c>
      <c r="E42" s="50" t="s">
        <v>2</v>
      </c>
      <c r="F42" s="49">
        <v>-1971</v>
      </c>
      <c r="G42" s="55"/>
      <c r="H42" s="37">
        <v>-150</v>
      </c>
      <c r="I42" s="50" t="s">
        <v>2</v>
      </c>
      <c r="J42" s="37">
        <v>-1830</v>
      </c>
      <c r="K42" s="59"/>
      <c r="N42" s="12"/>
      <c r="O42" s="12"/>
      <c r="P42" s="12"/>
    </row>
    <row r="43" spans="1:16" s="11" customFormat="1" x14ac:dyDescent="0.3">
      <c r="A43" t="s">
        <v>23</v>
      </c>
      <c r="C43" s="31" t="s">
        <v>2</v>
      </c>
      <c r="D43" s="37">
        <v>-11599.43</v>
      </c>
      <c r="E43" s="50" t="s">
        <v>2</v>
      </c>
      <c r="F43" s="49">
        <v>-15139.79</v>
      </c>
      <c r="G43" s="55"/>
      <c r="H43" s="37">
        <v>-10472.17</v>
      </c>
      <c r="I43" s="50" t="s">
        <v>2</v>
      </c>
      <c r="J43" s="37">
        <v>-1736</v>
      </c>
      <c r="K43" s="59"/>
      <c r="N43" s="12"/>
      <c r="O43" s="12"/>
      <c r="P43" s="12"/>
    </row>
    <row r="44" spans="1:16" s="11" customFormat="1" x14ac:dyDescent="0.3">
      <c r="A44" t="s">
        <v>11</v>
      </c>
      <c r="C44" s="31" t="s">
        <v>2</v>
      </c>
      <c r="D44" s="37">
        <v>-1595.51</v>
      </c>
      <c r="E44" s="50" t="s">
        <v>2</v>
      </c>
      <c r="F44" s="49">
        <v>-1491.62</v>
      </c>
      <c r="G44" s="55"/>
      <c r="H44" s="37">
        <v>-1655.05</v>
      </c>
      <c r="I44" s="50" t="s">
        <v>2</v>
      </c>
      <c r="J44" s="37">
        <v>-1172</v>
      </c>
      <c r="K44" s="59"/>
      <c r="N44" s="12"/>
      <c r="O44" s="12"/>
      <c r="P44" s="12"/>
    </row>
    <row r="45" spans="1:16" s="11" customFormat="1" x14ac:dyDescent="0.3">
      <c r="A45" t="s">
        <v>4</v>
      </c>
      <c r="C45" s="31" t="s">
        <v>2</v>
      </c>
      <c r="D45" s="37">
        <f>-398.11-4244.05</f>
        <v>-4642.16</v>
      </c>
      <c r="E45" s="50" t="s">
        <v>2</v>
      </c>
      <c r="F45" s="49">
        <f>-8635.72-130.29</f>
        <v>-8766.01</v>
      </c>
      <c r="G45" s="55"/>
      <c r="H45" s="37">
        <v>-4729.34</v>
      </c>
      <c r="I45" s="50" t="s">
        <v>2</v>
      </c>
      <c r="J45" s="37">
        <v>-4889</v>
      </c>
      <c r="K45" s="59"/>
      <c r="N45" s="12"/>
      <c r="O45" s="12"/>
      <c r="P45" s="12"/>
    </row>
    <row r="46" spans="1:16" s="11" customFormat="1" x14ac:dyDescent="0.3">
      <c r="A46" s="30" t="s">
        <v>2</v>
      </c>
      <c r="C46" s="37"/>
      <c r="D46" s="37" t="s">
        <v>2</v>
      </c>
      <c r="E46" s="55" t="s">
        <v>2</v>
      </c>
      <c r="F46" s="37"/>
      <c r="G46" s="55"/>
      <c r="H46" s="37"/>
      <c r="I46" s="55"/>
      <c r="J46" s="37"/>
      <c r="K46" s="59"/>
    </row>
    <row r="47" spans="1:16" x14ac:dyDescent="0.3">
      <c r="A47" t="s">
        <v>51</v>
      </c>
      <c r="C47" s="31">
        <f>SUM(C13:C46)</f>
        <v>161265.99</v>
      </c>
      <c r="D47" s="31">
        <f>SUM(D13:D46)</f>
        <v>-82020.85000000002</v>
      </c>
      <c r="E47" s="50">
        <f>SUM(E13:E46)</f>
        <v>112792.31</v>
      </c>
      <c r="F47" s="31">
        <f t="shared" ref="F47:J47" si="0">SUM(F13:F46)</f>
        <v>-120768.87999999999</v>
      </c>
      <c r="G47" s="50">
        <f t="shared" si="0"/>
        <v>74648.3</v>
      </c>
      <c r="H47" s="31">
        <f t="shared" si="0"/>
        <v>-86925.010000000009</v>
      </c>
      <c r="I47" s="50">
        <f t="shared" si="0"/>
        <v>51526.17</v>
      </c>
      <c r="J47" s="31">
        <f t="shared" si="0"/>
        <v>-43112.5</v>
      </c>
    </row>
    <row r="48" spans="1:16" x14ac:dyDescent="0.3">
      <c r="C48" s="31"/>
      <c r="D48" s="31"/>
      <c r="E48" s="50"/>
      <c r="F48" s="31"/>
      <c r="G48" s="50"/>
      <c r="H48" s="31"/>
      <c r="I48" s="50"/>
      <c r="J48" s="31"/>
    </row>
    <row r="49" spans="1:16" x14ac:dyDescent="0.3">
      <c r="A49" s="6" t="s">
        <v>3</v>
      </c>
      <c r="B49" s="7"/>
      <c r="C49" s="52" t="s">
        <v>66</v>
      </c>
      <c r="D49" s="52" t="s">
        <v>67</v>
      </c>
      <c r="E49" s="23" t="s">
        <v>49</v>
      </c>
      <c r="F49" s="14" t="s">
        <v>50</v>
      </c>
      <c r="G49" s="23" t="s">
        <v>26</v>
      </c>
      <c r="H49" s="14" t="s">
        <v>28</v>
      </c>
      <c r="I49" s="23" t="s">
        <v>25</v>
      </c>
      <c r="J49" s="8" t="s">
        <v>27</v>
      </c>
      <c r="N49" s="9"/>
      <c r="O49" s="9"/>
      <c r="P49" s="9"/>
    </row>
    <row r="50" spans="1:16" x14ac:dyDescent="0.3">
      <c r="C50" s="31"/>
      <c r="D50" s="31"/>
      <c r="E50" s="50"/>
      <c r="F50" s="31"/>
      <c r="G50" s="50"/>
      <c r="H50" s="31"/>
      <c r="I50" s="50"/>
      <c r="J50" s="31"/>
    </row>
    <row r="51" spans="1:16" x14ac:dyDescent="0.3">
      <c r="A51" t="s">
        <v>69</v>
      </c>
      <c r="C51" s="17">
        <v>163</v>
      </c>
      <c r="D51" s="17">
        <v>-126.6</v>
      </c>
      <c r="E51" s="26">
        <v>762.93</v>
      </c>
      <c r="F51" s="18">
        <v>-923.06</v>
      </c>
      <c r="G51" s="25">
        <v>1145.4000000000001</v>
      </c>
      <c r="H51" s="17">
        <v>-745.68</v>
      </c>
      <c r="I51" s="25">
        <f>333+1104+397+385+170+188+516+293+355+1410</f>
        <v>5151</v>
      </c>
      <c r="J51" s="17">
        <f>-1633-104-698-381-188-84-42-41-64</f>
        <v>-3235</v>
      </c>
      <c r="N51" s="2"/>
      <c r="O51" s="2"/>
      <c r="P51" s="2"/>
    </row>
    <row r="52" spans="1:16" x14ac:dyDescent="0.3">
      <c r="A52" t="s">
        <v>72</v>
      </c>
      <c r="C52" s="17" t="s">
        <v>2</v>
      </c>
      <c r="D52" s="17">
        <v>-292.85000000000002</v>
      </c>
      <c r="E52" s="25"/>
      <c r="F52" s="18">
        <v>-198.53</v>
      </c>
      <c r="G52" s="25"/>
      <c r="H52" s="17">
        <v>-267.07</v>
      </c>
      <c r="I52" s="25"/>
      <c r="J52" s="17">
        <f>-40-231</f>
        <v>-271</v>
      </c>
      <c r="N52" s="2"/>
      <c r="O52" s="2"/>
      <c r="P52" s="2"/>
    </row>
    <row r="53" spans="1:16" x14ac:dyDescent="0.3">
      <c r="C53" s="31"/>
      <c r="D53" s="31"/>
      <c r="E53" s="50"/>
      <c r="F53" s="31"/>
      <c r="G53" s="50"/>
      <c r="H53" s="31"/>
      <c r="I53" s="50"/>
      <c r="J53" s="31"/>
    </row>
    <row r="54" spans="1:16" x14ac:dyDescent="0.3">
      <c r="A54" t="s">
        <v>52</v>
      </c>
      <c r="C54" s="31">
        <f t="shared" ref="C54:J54" si="1">SUM(C51:C53)</f>
        <v>163</v>
      </c>
      <c r="D54" s="31">
        <f t="shared" si="1"/>
        <v>-419.45000000000005</v>
      </c>
      <c r="E54" s="50">
        <f t="shared" si="1"/>
        <v>762.93</v>
      </c>
      <c r="F54" s="31">
        <f t="shared" si="1"/>
        <v>-1121.5899999999999</v>
      </c>
      <c r="G54" s="50">
        <f t="shared" si="1"/>
        <v>1145.4000000000001</v>
      </c>
      <c r="H54" s="31">
        <f t="shared" si="1"/>
        <v>-1012.75</v>
      </c>
      <c r="I54" s="50">
        <f t="shared" si="1"/>
        <v>5151</v>
      </c>
      <c r="J54" s="31">
        <f t="shared" si="1"/>
        <v>-3506</v>
      </c>
    </row>
    <row r="55" spans="1:16" x14ac:dyDescent="0.3">
      <c r="C55" s="31"/>
      <c r="D55" s="31"/>
      <c r="E55" s="50"/>
      <c r="F55" s="31"/>
      <c r="G55" s="50"/>
      <c r="H55" s="31"/>
      <c r="I55" s="50"/>
      <c r="J55" s="31"/>
    </row>
    <row r="56" spans="1:16" x14ac:dyDescent="0.3">
      <c r="A56" s="6" t="s">
        <v>62</v>
      </c>
      <c r="B56" s="7"/>
      <c r="C56" s="52" t="s">
        <v>66</v>
      </c>
      <c r="D56" s="52" t="s">
        <v>67</v>
      </c>
      <c r="E56" s="50"/>
      <c r="F56" s="31"/>
      <c r="G56" s="50"/>
      <c r="H56" s="53"/>
      <c r="I56" s="57"/>
      <c r="J56" s="53"/>
    </row>
    <row r="57" spans="1:16" x14ac:dyDescent="0.3">
      <c r="C57" s="31"/>
      <c r="D57" s="31"/>
      <c r="E57" s="50"/>
      <c r="F57" s="31"/>
      <c r="G57" s="50"/>
      <c r="H57" s="31"/>
      <c r="I57" s="50"/>
      <c r="J57" s="31"/>
    </row>
    <row r="58" spans="1:16" x14ac:dyDescent="0.3">
      <c r="A58" t="s">
        <v>44</v>
      </c>
      <c r="C58" s="31" t="str">
        <f>Monthly!C58</f>
        <v xml:space="preserve"> </v>
      </c>
      <c r="D58" s="31" t="str">
        <f>Monthly!D58</f>
        <v xml:space="preserve"> </v>
      </c>
      <c r="E58" s="50"/>
      <c r="F58" s="31"/>
      <c r="G58" s="50"/>
      <c r="H58" s="31"/>
      <c r="I58" s="50"/>
      <c r="J58" s="31"/>
    </row>
    <row r="59" spans="1:16" x14ac:dyDescent="0.3">
      <c r="A59" s="47" t="s">
        <v>12</v>
      </c>
      <c r="C59" s="31">
        <v>21925.32</v>
      </c>
      <c r="D59" s="31">
        <v>-19800</v>
      </c>
      <c r="E59" s="26">
        <v>18595</v>
      </c>
      <c r="F59" s="18">
        <v>-16965</v>
      </c>
      <c r="G59" s="25">
        <v>14090</v>
      </c>
      <c r="H59" s="17">
        <v>-13380</v>
      </c>
      <c r="I59" s="25">
        <v>18975</v>
      </c>
      <c r="J59" s="17">
        <v>-17300</v>
      </c>
      <c r="N59" s="2"/>
      <c r="O59" s="2"/>
      <c r="P59" s="2"/>
    </row>
    <row r="60" spans="1:16" x14ac:dyDescent="0.3">
      <c r="A60" s="47" t="s">
        <v>13</v>
      </c>
      <c r="C60" s="31">
        <v>37680</v>
      </c>
      <c r="D60" s="31">
        <v>-37100</v>
      </c>
      <c r="E60" s="26">
        <v>29935</v>
      </c>
      <c r="F60" s="18">
        <v>-26110</v>
      </c>
      <c r="G60" s="25">
        <v>25015</v>
      </c>
      <c r="H60" s="17">
        <v>-21435</v>
      </c>
      <c r="I60" s="25">
        <v>21335</v>
      </c>
      <c r="J60" s="17">
        <v>-26480</v>
      </c>
      <c r="N60" s="2"/>
      <c r="O60" s="2"/>
      <c r="P60" s="2"/>
    </row>
    <row r="61" spans="1:16" x14ac:dyDescent="0.3">
      <c r="A61" s="47" t="s">
        <v>14</v>
      </c>
      <c r="C61" s="31">
        <v>3340</v>
      </c>
      <c r="D61" s="31">
        <v>-2930</v>
      </c>
      <c r="E61" s="26">
        <v>2960</v>
      </c>
      <c r="F61" s="18">
        <v>-4251</v>
      </c>
      <c r="G61" s="25">
        <v>2170</v>
      </c>
      <c r="H61" s="17">
        <v>-2750</v>
      </c>
      <c r="I61" s="25">
        <v>2160</v>
      </c>
      <c r="J61" s="17">
        <v>-4925</v>
      </c>
      <c r="N61" s="2"/>
      <c r="O61" s="2"/>
      <c r="P61" s="2"/>
    </row>
    <row r="62" spans="1:16" x14ac:dyDescent="0.3">
      <c r="A62" s="47" t="s">
        <v>15</v>
      </c>
      <c r="C62" s="31">
        <v>34240</v>
      </c>
      <c r="D62" s="31">
        <v>-21860</v>
      </c>
      <c r="E62" s="26">
        <v>29185</v>
      </c>
      <c r="F62" s="18">
        <v>-19350</v>
      </c>
      <c r="G62" s="25">
        <v>22560</v>
      </c>
      <c r="H62" s="17">
        <v>-19320</v>
      </c>
      <c r="I62" s="25">
        <v>15025</v>
      </c>
      <c r="J62" s="17">
        <v>-3320</v>
      </c>
      <c r="N62" s="2"/>
      <c r="O62" s="2"/>
      <c r="P62" s="2"/>
    </row>
    <row r="63" spans="1:16" x14ac:dyDescent="0.3">
      <c r="A63" s="47" t="s">
        <v>73</v>
      </c>
      <c r="C63" s="31">
        <v>600</v>
      </c>
      <c r="D63" s="31">
        <v>-2070</v>
      </c>
      <c r="E63" s="26">
        <v>1140</v>
      </c>
      <c r="F63" s="18">
        <f>-4084.03+1609.03+980</f>
        <v>-1495</v>
      </c>
      <c r="G63" s="25">
        <v>1780</v>
      </c>
      <c r="H63" s="17">
        <v>-2735</v>
      </c>
      <c r="I63" s="25">
        <v>412</v>
      </c>
      <c r="J63" s="17" t="s">
        <v>2</v>
      </c>
      <c r="N63" s="2"/>
      <c r="O63" s="2"/>
      <c r="P63" s="2"/>
    </row>
    <row r="64" spans="1:16" x14ac:dyDescent="0.3">
      <c r="A64" s="47" t="s">
        <v>82</v>
      </c>
      <c r="C64" s="31">
        <v>750</v>
      </c>
      <c r="D64" s="31" t="s">
        <v>2</v>
      </c>
      <c r="E64" s="26"/>
      <c r="F64" s="18"/>
      <c r="G64" s="25"/>
      <c r="H64" s="17"/>
      <c r="I64" s="25"/>
      <c r="J64" s="17"/>
      <c r="N64" s="2"/>
      <c r="O64" s="2"/>
      <c r="P64" s="2"/>
    </row>
    <row r="65" spans="1:16" x14ac:dyDescent="0.3">
      <c r="A65" t="s">
        <v>68</v>
      </c>
      <c r="C65" s="31" t="str">
        <f>Monthly!C65</f>
        <v xml:space="preserve"> </v>
      </c>
      <c r="D65" s="31">
        <v>-933.79</v>
      </c>
      <c r="E65" s="50" t="s">
        <v>2</v>
      </c>
      <c r="F65" s="31"/>
      <c r="G65" s="50"/>
      <c r="H65" s="31"/>
      <c r="I65" s="50"/>
      <c r="J65" s="31"/>
    </row>
    <row r="66" spans="1:16" x14ac:dyDescent="0.3">
      <c r="A66" t="s">
        <v>39</v>
      </c>
      <c r="C66" s="31" t="s">
        <v>2</v>
      </c>
      <c r="D66" s="31">
        <v>-1414.03</v>
      </c>
      <c r="E66" s="26">
        <v>775</v>
      </c>
      <c r="F66" s="18">
        <v>-4746.82</v>
      </c>
      <c r="G66" s="25"/>
      <c r="H66" s="17">
        <v>-1017.2</v>
      </c>
      <c r="I66" s="25"/>
      <c r="J66" s="17"/>
      <c r="N66" s="2"/>
      <c r="O66" s="2"/>
      <c r="P66" s="2"/>
    </row>
    <row r="67" spans="1:16" x14ac:dyDescent="0.3">
      <c r="A67" t="s">
        <v>45</v>
      </c>
      <c r="C67" s="31" t="s">
        <v>2</v>
      </c>
      <c r="D67" s="31" t="str">
        <f>Monthly!D67</f>
        <v xml:space="preserve"> </v>
      </c>
      <c r="E67" s="25"/>
      <c r="F67" s="18">
        <v>-579.71</v>
      </c>
      <c r="G67" s="25"/>
      <c r="H67" s="17">
        <v>-241.96</v>
      </c>
      <c r="I67" s="25"/>
      <c r="J67" s="17"/>
      <c r="N67" s="2"/>
      <c r="O67" s="2"/>
      <c r="P67" s="2"/>
    </row>
    <row r="68" spans="1:16" x14ac:dyDescent="0.3">
      <c r="A68" t="s">
        <v>74</v>
      </c>
      <c r="C68" s="31" t="s">
        <v>2</v>
      </c>
      <c r="D68" s="31">
        <v>-747.28</v>
      </c>
      <c r="E68" s="25"/>
      <c r="F68" s="18">
        <v>-515.25</v>
      </c>
      <c r="G68" s="25"/>
      <c r="H68" s="17">
        <v>-500</v>
      </c>
      <c r="I68" s="25" t="s">
        <v>2</v>
      </c>
      <c r="J68" s="17">
        <v>-515</v>
      </c>
      <c r="N68" s="2"/>
      <c r="O68" s="2"/>
      <c r="P68" s="2"/>
    </row>
    <row r="69" spans="1:16" x14ac:dyDescent="0.3">
      <c r="D69"/>
      <c r="E69" s="25"/>
      <c r="F69" s="18"/>
      <c r="G69" s="25"/>
      <c r="H69" s="17"/>
      <c r="I69" s="25"/>
      <c r="J69" s="17"/>
      <c r="N69" s="2"/>
      <c r="O69" s="2"/>
      <c r="P69" s="2"/>
    </row>
    <row r="70" spans="1:16" x14ac:dyDescent="0.3">
      <c r="A70" t="s">
        <v>70</v>
      </c>
      <c r="C70" s="31">
        <f>SUM(C58:C69)</f>
        <v>98535.32</v>
      </c>
      <c r="D70" s="31">
        <f t="shared" ref="D70:J70" si="2">SUM(D58:D69)</f>
        <v>-86855.099999999991</v>
      </c>
      <c r="E70" s="50">
        <f t="shared" si="2"/>
        <v>82590</v>
      </c>
      <c r="F70" s="31">
        <f t="shared" si="2"/>
        <v>-74012.780000000013</v>
      </c>
      <c r="G70" s="50">
        <f t="shared" si="2"/>
        <v>65615</v>
      </c>
      <c r="H70" s="31">
        <f t="shared" si="2"/>
        <v>-61379.159999999996</v>
      </c>
      <c r="I70" s="50">
        <f t="shared" si="2"/>
        <v>57907</v>
      </c>
      <c r="J70" s="31">
        <f t="shared" si="2"/>
        <v>-52540</v>
      </c>
      <c r="N70" s="2"/>
      <c r="O70" s="2"/>
      <c r="P70" s="2"/>
    </row>
    <row r="71" spans="1:16" x14ac:dyDescent="0.3">
      <c r="C71" s="31"/>
      <c r="D71" s="31"/>
      <c r="E71" s="50"/>
      <c r="F71" s="31"/>
      <c r="G71" s="50"/>
      <c r="H71" s="31"/>
      <c r="I71" s="50"/>
      <c r="J71" s="31"/>
    </row>
    <row r="72" spans="1:16" x14ac:dyDescent="0.3">
      <c r="A72" s="1" t="s">
        <v>53</v>
      </c>
      <c r="C72" s="48">
        <f t="shared" ref="C72:J72" si="3">C70+C54+C47</f>
        <v>259964.31</v>
      </c>
      <c r="D72" s="48">
        <f t="shared" si="3"/>
        <v>-169295.40000000002</v>
      </c>
      <c r="E72" s="54">
        <f t="shared" si="3"/>
        <v>196145.24</v>
      </c>
      <c r="F72" s="48">
        <f t="shared" si="3"/>
        <v>-195903.25</v>
      </c>
      <c r="G72" s="54">
        <f t="shared" si="3"/>
        <v>141408.70000000001</v>
      </c>
      <c r="H72" s="48">
        <f t="shared" si="3"/>
        <v>-149316.92000000001</v>
      </c>
      <c r="I72" s="54">
        <f t="shared" si="3"/>
        <v>114584.17</v>
      </c>
      <c r="J72" s="48">
        <f t="shared" si="3"/>
        <v>-99158.5</v>
      </c>
    </row>
    <row r="73" spans="1:16" x14ac:dyDescent="0.3">
      <c r="C73" s="31"/>
      <c r="D73" s="31"/>
      <c r="E73" s="50" t="s">
        <v>2</v>
      </c>
      <c r="F73" s="31" t="s">
        <v>2</v>
      </c>
      <c r="G73" s="50"/>
      <c r="H73" s="31"/>
      <c r="I73" s="50"/>
      <c r="J73" s="31"/>
    </row>
    <row r="74" spans="1:16" x14ac:dyDescent="0.3">
      <c r="D74" s="13">
        <f>C72+D72</f>
        <v>90668.909999999974</v>
      </c>
    </row>
    <row r="77" spans="1:16" x14ac:dyDescent="0.3">
      <c r="A77" t="s">
        <v>79</v>
      </c>
      <c r="D77" s="15">
        <v>-1322.19</v>
      </c>
      <c r="E77"/>
      <c r="F77"/>
      <c r="G77"/>
      <c r="I77"/>
      <c r="K77"/>
    </row>
    <row r="80" spans="1:16" x14ac:dyDescent="0.3">
      <c r="A80" t="s">
        <v>80</v>
      </c>
      <c r="C80" s="61">
        <v>1295</v>
      </c>
    </row>
  </sheetData>
  <pageMargins left="0.7" right="0.7" top="0.75" bottom="0.75" header="0.3" footer="0.3"/>
  <pageSetup scale="7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AA43C-C7C8-0446-94DA-16F6C9F4E8CA}">
  <dimension ref="A1:J74"/>
  <sheetViews>
    <sheetView topLeftCell="A45" zoomScale="125" zoomScaleNormal="125" workbookViewId="0">
      <pane xSplit="1" topLeftCell="B1" activePane="topRight" state="frozen"/>
      <selection pane="topRight" activeCell="D65" sqref="D65"/>
    </sheetView>
  </sheetViews>
  <sheetFormatPr defaultColWidth="8.77734375" defaultRowHeight="14.4" x14ac:dyDescent="0.3"/>
  <cols>
    <col min="1" max="1" width="32.6640625" bestFit="1" customWidth="1"/>
    <col min="2" max="2" width="4.33203125" customWidth="1"/>
    <col min="3" max="3" width="21.77734375" customWidth="1"/>
    <col min="4" max="4" width="23" style="13" customWidth="1"/>
    <col min="5" max="5" width="10.109375" bestFit="1" customWidth="1"/>
    <col min="7" max="7" width="14.109375" customWidth="1"/>
    <col min="8" max="8" width="18.77734375" customWidth="1"/>
    <col min="9" max="9" width="2.44140625" customWidth="1"/>
    <col min="10" max="10" width="17.6640625" customWidth="1"/>
  </cols>
  <sheetData>
    <row r="1" spans="1:10" ht="18" x14ac:dyDescent="0.35">
      <c r="A1" s="10" t="s">
        <v>56</v>
      </c>
      <c r="B1" s="10"/>
      <c r="C1" s="29" t="s">
        <v>81</v>
      </c>
    </row>
    <row r="2" spans="1:10" ht="18" x14ac:dyDescent="0.35">
      <c r="A2" s="19" t="s">
        <v>84</v>
      </c>
      <c r="B2" s="10"/>
    </row>
    <row r="4" spans="1:10" x14ac:dyDescent="0.3">
      <c r="A4" s="1" t="s">
        <v>0</v>
      </c>
      <c r="C4" s="2">
        <v>134379.91</v>
      </c>
    </row>
    <row r="5" spans="1:10" x14ac:dyDescent="0.3">
      <c r="A5" s="1" t="s">
        <v>3</v>
      </c>
      <c r="C5" s="2">
        <v>1962.2</v>
      </c>
    </row>
    <row r="6" spans="1:10" x14ac:dyDescent="0.3">
      <c r="A6" s="1" t="s">
        <v>24</v>
      </c>
      <c r="C6" s="2">
        <v>16085.5</v>
      </c>
      <c r="D6" s="13" t="s">
        <v>2</v>
      </c>
    </row>
    <row r="7" spans="1:10" x14ac:dyDescent="0.3">
      <c r="A7" s="1" t="s">
        <v>62</v>
      </c>
      <c r="C7" s="2">
        <v>62067.07</v>
      </c>
    </row>
    <row r="8" spans="1:10" x14ac:dyDescent="0.3">
      <c r="A8" s="1"/>
    </row>
    <row r="9" spans="1:10" x14ac:dyDescent="0.3">
      <c r="A9" s="1" t="s">
        <v>43</v>
      </c>
      <c r="C9" s="37">
        <v>-540.5</v>
      </c>
    </row>
    <row r="11" spans="1:10" x14ac:dyDescent="0.3">
      <c r="A11" s="6" t="s">
        <v>0</v>
      </c>
      <c r="B11" s="7"/>
      <c r="C11" s="8" t="s">
        <v>64</v>
      </c>
      <c r="D11" s="14" t="s">
        <v>65</v>
      </c>
      <c r="H11" s="9"/>
      <c r="I11" s="9"/>
      <c r="J11" s="9"/>
    </row>
    <row r="12" spans="1:10" s="11" customFormat="1" x14ac:dyDescent="0.3">
      <c r="A12" s="11" t="s">
        <v>2</v>
      </c>
      <c r="C12" s="12"/>
      <c r="D12" s="15" t="s">
        <v>2</v>
      </c>
      <c r="H12" s="12"/>
      <c r="I12" s="12"/>
      <c r="J12" s="12"/>
    </row>
    <row r="13" spans="1:10" s="11" customFormat="1" x14ac:dyDescent="0.3">
      <c r="A13" t="s">
        <v>1</v>
      </c>
      <c r="C13" s="17">
        <v>9577.5</v>
      </c>
      <c r="D13" s="16">
        <v>-432.2</v>
      </c>
      <c r="H13" s="12"/>
      <c r="I13" s="12"/>
      <c r="J13" s="12"/>
    </row>
    <row r="14" spans="1:10" s="11" customFormat="1" x14ac:dyDescent="0.3">
      <c r="A14" s="30" t="s">
        <v>58</v>
      </c>
      <c r="B14"/>
      <c r="C14" s="17" t="s">
        <v>2</v>
      </c>
      <c r="D14" s="16"/>
      <c r="H14" s="12"/>
      <c r="I14" s="12"/>
      <c r="J14" s="12"/>
    </row>
    <row r="15" spans="1:10" s="11" customFormat="1" x14ac:dyDescent="0.3">
      <c r="A15" t="s">
        <v>22</v>
      </c>
      <c r="C15" s="17"/>
      <c r="D15" s="16" t="s">
        <v>2</v>
      </c>
      <c r="H15" s="12"/>
      <c r="I15" s="12"/>
      <c r="J15" s="12"/>
    </row>
    <row r="16" spans="1:10" s="11" customFormat="1" x14ac:dyDescent="0.3">
      <c r="A16" s="30" t="s">
        <v>21</v>
      </c>
      <c r="C16" s="16"/>
      <c r="D16" s="16">
        <v>-600</v>
      </c>
      <c r="H16" s="12"/>
      <c r="I16" s="12"/>
      <c r="J16" s="12"/>
    </row>
    <row r="17" spans="1:10" s="11" customFormat="1" x14ac:dyDescent="0.3">
      <c r="A17" t="s">
        <v>5</v>
      </c>
      <c r="C17" s="16"/>
      <c r="D17" s="16" t="s">
        <v>2</v>
      </c>
      <c r="H17" s="12"/>
      <c r="I17" s="12"/>
      <c r="J17" s="12"/>
    </row>
    <row r="18" spans="1:10" s="11" customFormat="1" x14ac:dyDescent="0.3">
      <c r="A18" t="s">
        <v>59</v>
      </c>
      <c r="C18" s="16"/>
      <c r="D18" s="16">
        <v>-84.99</v>
      </c>
      <c r="H18" s="12"/>
      <c r="I18" s="12"/>
      <c r="J18" s="12"/>
    </row>
    <row r="19" spans="1:10" s="11" customFormat="1" x14ac:dyDescent="0.3">
      <c r="A19" t="s">
        <v>31</v>
      </c>
      <c r="C19" s="16"/>
      <c r="D19" s="16"/>
      <c r="H19" s="12"/>
      <c r="I19" s="12"/>
      <c r="J19" s="12"/>
    </row>
    <row r="20" spans="1:10" s="11" customFormat="1" x14ac:dyDescent="0.3">
      <c r="A20" s="27" t="s">
        <v>30</v>
      </c>
      <c r="B20" s="27"/>
      <c r="C20" s="28"/>
      <c r="D20" s="16" t="s">
        <v>2</v>
      </c>
      <c r="H20" s="12"/>
      <c r="I20" s="12"/>
      <c r="J20" s="12"/>
    </row>
    <row r="21" spans="1:10" s="11" customFormat="1" x14ac:dyDescent="0.3">
      <c r="A21" s="27" t="s">
        <v>33</v>
      </c>
      <c r="B21" s="27"/>
      <c r="C21" s="28"/>
      <c r="D21" s="16"/>
      <c r="H21" s="12"/>
      <c r="I21" s="12"/>
      <c r="J21" s="12"/>
    </row>
    <row r="22" spans="1:10" s="11" customFormat="1" x14ac:dyDescent="0.3">
      <c r="A22" s="27" t="s">
        <v>36</v>
      </c>
      <c r="B22" s="27"/>
      <c r="C22" s="28"/>
      <c r="D22" s="16"/>
      <c r="H22" s="12"/>
      <c r="I22" s="12"/>
      <c r="J22" s="12"/>
    </row>
    <row r="23" spans="1:10" s="11" customFormat="1" x14ac:dyDescent="0.3">
      <c r="A23" s="47" t="s">
        <v>37</v>
      </c>
      <c r="B23" s="27"/>
      <c r="C23" s="28" t="s">
        <v>2</v>
      </c>
      <c r="D23" s="16" t="s">
        <v>2</v>
      </c>
      <c r="E23" s="11" t="s">
        <v>2</v>
      </c>
      <c r="H23" s="12"/>
      <c r="I23" s="12"/>
      <c r="J23" s="12"/>
    </row>
    <row r="24" spans="1:10" s="11" customFormat="1" x14ac:dyDescent="0.3">
      <c r="A24" s="47" t="s">
        <v>38</v>
      </c>
      <c r="B24" s="27"/>
      <c r="C24" s="28" t="s">
        <v>2</v>
      </c>
      <c r="D24" s="16" t="s">
        <v>2</v>
      </c>
      <c r="H24" s="12"/>
      <c r="I24" s="12"/>
      <c r="J24" s="12"/>
    </row>
    <row r="25" spans="1:10" s="11" customFormat="1" x14ac:dyDescent="0.3">
      <c r="A25" s="27" t="s">
        <v>40</v>
      </c>
      <c r="B25" s="27"/>
      <c r="C25" s="28" t="s">
        <v>2</v>
      </c>
      <c r="D25" s="16" t="s">
        <v>2</v>
      </c>
      <c r="H25" s="12"/>
      <c r="I25" s="12"/>
      <c r="J25" s="12"/>
    </row>
    <row r="26" spans="1:10" s="11" customFormat="1" x14ac:dyDescent="0.3">
      <c r="A26" s="27" t="s">
        <v>32</v>
      </c>
      <c r="B26" s="27"/>
      <c r="C26" s="28" t="s">
        <v>2</v>
      </c>
      <c r="D26" s="16" t="s">
        <v>2</v>
      </c>
      <c r="H26" s="12"/>
      <c r="I26" s="12"/>
      <c r="J26" s="12"/>
    </row>
    <row r="27" spans="1:10" s="11" customFormat="1" x14ac:dyDescent="0.3">
      <c r="A27" s="27" t="s">
        <v>34</v>
      </c>
      <c r="B27" s="27"/>
      <c r="C27" s="28" t="s">
        <v>2</v>
      </c>
      <c r="D27" s="16" t="s">
        <v>2</v>
      </c>
      <c r="H27" s="12"/>
      <c r="I27" s="12"/>
      <c r="J27" s="12"/>
    </row>
    <row r="28" spans="1:10" s="11" customFormat="1" x14ac:dyDescent="0.3">
      <c r="A28" s="47" t="s">
        <v>55</v>
      </c>
      <c r="B28" s="27"/>
      <c r="C28" s="28">
        <v>2667.53</v>
      </c>
      <c r="D28" s="16">
        <f>-3237-7300</f>
        <v>-10537</v>
      </c>
      <c r="H28" s="12"/>
      <c r="I28" s="12"/>
      <c r="J28" s="12"/>
    </row>
    <row r="29" spans="1:10" s="11" customFormat="1" x14ac:dyDescent="0.3">
      <c r="A29" s="47" t="s">
        <v>54</v>
      </c>
      <c r="B29" s="27"/>
      <c r="C29" s="28">
        <v>66970.720000000001</v>
      </c>
      <c r="D29" s="16">
        <f>-8225.79-14975</f>
        <v>-23200.79</v>
      </c>
      <c r="H29" s="12"/>
      <c r="I29" s="12"/>
      <c r="J29" s="12"/>
    </row>
    <row r="30" spans="1:10" s="11" customFormat="1" x14ac:dyDescent="0.3">
      <c r="A30" s="27" t="s">
        <v>35</v>
      </c>
      <c r="B30" s="27"/>
      <c r="C30" s="28">
        <v>528</v>
      </c>
      <c r="D30" s="16" t="s">
        <v>2</v>
      </c>
      <c r="H30" s="12"/>
      <c r="I30" s="12"/>
      <c r="J30" s="12"/>
    </row>
    <row r="31" spans="1:10" s="11" customFormat="1" x14ac:dyDescent="0.3">
      <c r="A31" t="s">
        <v>41</v>
      </c>
      <c r="C31" s="17" t="s">
        <v>2</v>
      </c>
      <c r="D31" s="16" t="s">
        <v>2</v>
      </c>
      <c r="H31" s="12"/>
      <c r="I31" s="12"/>
      <c r="J31" s="12"/>
    </row>
    <row r="32" spans="1:10" s="11" customFormat="1" x14ac:dyDescent="0.3">
      <c r="A32" t="s">
        <v>17</v>
      </c>
      <c r="C32" s="16"/>
      <c r="D32" s="16" t="s">
        <v>2</v>
      </c>
      <c r="H32" s="12"/>
      <c r="I32" s="12"/>
      <c r="J32" s="12"/>
    </row>
    <row r="33" spans="1:10" s="11" customFormat="1" x14ac:dyDescent="0.3">
      <c r="A33" t="s">
        <v>6</v>
      </c>
      <c r="C33" s="16" t="s">
        <v>2</v>
      </c>
      <c r="D33" s="16">
        <v>-377.42</v>
      </c>
      <c r="H33" s="12"/>
      <c r="I33" s="12"/>
      <c r="J33" s="12"/>
    </row>
    <row r="34" spans="1:10" s="11" customFormat="1" x14ac:dyDescent="0.3">
      <c r="A34" s="47" t="s">
        <v>46</v>
      </c>
      <c r="C34" s="28" t="s">
        <v>2</v>
      </c>
      <c r="D34" s="16" t="s">
        <v>2</v>
      </c>
      <c r="H34" s="12"/>
      <c r="I34" s="12"/>
      <c r="J34" s="12"/>
    </row>
    <row r="35" spans="1:10" s="11" customFormat="1" x14ac:dyDescent="0.3">
      <c r="A35" t="s">
        <v>42</v>
      </c>
      <c r="C35" s="16"/>
      <c r="D35" s="16">
        <v>-389.88</v>
      </c>
      <c r="H35" s="12"/>
      <c r="I35" s="12"/>
      <c r="J35" s="12"/>
    </row>
    <row r="36" spans="1:10" s="11" customFormat="1" x14ac:dyDescent="0.3">
      <c r="A36" t="s">
        <v>7</v>
      </c>
      <c r="C36" s="16"/>
      <c r="D36" s="16" t="s">
        <v>2</v>
      </c>
      <c r="H36" s="12"/>
      <c r="I36" s="12"/>
      <c r="J36" s="12"/>
    </row>
    <row r="37" spans="1:10" s="11" customFormat="1" x14ac:dyDescent="0.3">
      <c r="A37" t="s">
        <v>8</v>
      </c>
      <c r="C37" s="16"/>
      <c r="D37" s="16">
        <v>-196.82</v>
      </c>
      <c r="H37" s="12"/>
      <c r="I37" s="12"/>
      <c r="J37" s="12"/>
    </row>
    <row r="38" spans="1:10" s="11" customFormat="1" x14ac:dyDescent="0.3">
      <c r="A38" t="s">
        <v>9</v>
      </c>
      <c r="C38" s="16"/>
      <c r="D38" s="16" t="s">
        <v>2</v>
      </c>
      <c r="H38" s="12"/>
      <c r="I38" s="12"/>
      <c r="J38" s="12"/>
    </row>
    <row r="39" spans="1:10" s="11" customFormat="1" x14ac:dyDescent="0.3">
      <c r="A39" t="s">
        <v>20</v>
      </c>
      <c r="C39" s="16"/>
      <c r="D39" s="16" t="s">
        <v>2</v>
      </c>
      <c r="H39" s="12"/>
      <c r="I39" s="12"/>
      <c r="J39" s="12"/>
    </row>
    <row r="40" spans="1:10" s="11" customFormat="1" x14ac:dyDescent="0.3">
      <c r="A40" t="s">
        <v>10</v>
      </c>
      <c r="C40" s="16"/>
      <c r="D40" s="16">
        <f>-169.9-72.95</f>
        <v>-242.85000000000002</v>
      </c>
      <c r="H40" s="12"/>
      <c r="I40" s="12"/>
      <c r="J40" s="12"/>
    </row>
    <row r="41" spans="1:10" s="11" customFormat="1" x14ac:dyDescent="0.3">
      <c r="A41" t="s">
        <v>18</v>
      </c>
      <c r="C41" s="16"/>
      <c r="D41" s="16">
        <v>-666.9</v>
      </c>
      <c r="H41" s="12"/>
      <c r="I41" s="12"/>
      <c r="J41" s="12"/>
    </row>
    <row r="42" spans="1:10" s="11" customFormat="1" x14ac:dyDescent="0.3">
      <c r="A42" t="s">
        <v>19</v>
      </c>
      <c r="C42" s="16"/>
      <c r="D42" s="16" t="s">
        <v>2</v>
      </c>
      <c r="H42" s="12"/>
      <c r="I42" s="12"/>
      <c r="J42" s="12"/>
    </row>
    <row r="43" spans="1:10" s="11" customFormat="1" x14ac:dyDescent="0.3">
      <c r="A43" t="s">
        <v>23</v>
      </c>
      <c r="C43" s="16"/>
      <c r="D43" s="16">
        <v>-1328.21</v>
      </c>
      <c r="H43" s="12"/>
      <c r="I43" s="12"/>
      <c r="J43" s="12"/>
    </row>
    <row r="44" spans="1:10" s="11" customFormat="1" x14ac:dyDescent="0.3">
      <c r="A44" t="s">
        <v>11</v>
      </c>
      <c r="C44" s="16"/>
      <c r="D44" s="16">
        <v>-23.99</v>
      </c>
      <c r="H44" s="12"/>
      <c r="I44" s="12"/>
      <c r="J44" s="12"/>
    </row>
    <row r="45" spans="1:10" s="11" customFormat="1" x14ac:dyDescent="0.3">
      <c r="A45" t="s">
        <v>4</v>
      </c>
      <c r="C45" s="16"/>
      <c r="D45" s="16">
        <v>-127.42</v>
      </c>
      <c r="H45" s="12"/>
      <c r="I45" s="12"/>
      <c r="J45" s="12"/>
    </row>
    <row r="46" spans="1:10" s="11" customFormat="1" x14ac:dyDescent="0.3">
      <c r="A46" s="30" t="s">
        <v>2</v>
      </c>
      <c r="C46" s="16"/>
      <c r="D46" s="16" t="s">
        <v>2</v>
      </c>
      <c r="E46" s="11" t="s">
        <v>2</v>
      </c>
      <c r="H46" s="12"/>
      <c r="I46" s="12"/>
      <c r="J46" s="12"/>
    </row>
    <row r="47" spans="1:10" x14ac:dyDescent="0.3">
      <c r="A47" t="s">
        <v>51</v>
      </c>
      <c r="C47" s="17">
        <f>SUM(C13:C46)</f>
        <v>79743.75</v>
      </c>
      <c r="D47" s="17">
        <f>SUM(D13:D46)</f>
        <v>-38208.469999999994</v>
      </c>
      <c r="H47" s="2"/>
      <c r="I47" s="2"/>
      <c r="J47" s="2"/>
    </row>
    <row r="48" spans="1:10" x14ac:dyDescent="0.3">
      <c r="C48" s="2"/>
      <c r="H48" s="2"/>
      <c r="I48" s="2"/>
      <c r="J48" s="2"/>
    </row>
    <row r="49" spans="1:10" x14ac:dyDescent="0.3">
      <c r="A49" s="6" t="s">
        <v>3</v>
      </c>
      <c r="B49" s="7"/>
      <c r="C49" s="8" t="s">
        <v>66</v>
      </c>
      <c r="D49" s="14" t="s">
        <v>67</v>
      </c>
      <c r="H49" s="9"/>
      <c r="I49" s="9"/>
      <c r="J49" s="9"/>
    </row>
    <row r="50" spans="1:10" x14ac:dyDescent="0.3">
      <c r="C50" s="2"/>
      <c r="H50" s="2"/>
      <c r="I50" s="2"/>
      <c r="J50" s="2"/>
    </row>
    <row r="51" spans="1:10" x14ac:dyDescent="0.3">
      <c r="A51" t="s">
        <v>69</v>
      </c>
      <c r="C51" s="17">
        <v>0</v>
      </c>
      <c r="D51" s="17" t="s">
        <v>2</v>
      </c>
      <c r="E51" s="17" t="s">
        <v>2</v>
      </c>
      <c r="H51" s="2"/>
      <c r="I51" s="2"/>
      <c r="J51" s="2"/>
    </row>
    <row r="52" spans="1:10" x14ac:dyDescent="0.3">
      <c r="A52" t="s">
        <v>16</v>
      </c>
      <c r="C52" s="17">
        <v>0</v>
      </c>
      <c r="D52" s="17" t="s">
        <v>2</v>
      </c>
      <c r="H52" s="2"/>
      <c r="I52" s="2"/>
      <c r="J52" s="2"/>
    </row>
    <row r="53" spans="1:10" x14ac:dyDescent="0.3">
      <c r="C53" s="17"/>
      <c r="D53" s="17"/>
      <c r="H53" s="2"/>
      <c r="I53" s="2"/>
      <c r="J53" s="2"/>
    </row>
    <row r="54" spans="1:10" x14ac:dyDescent="0.3">
      <c r="A54" t="s">
        <v>52</v>
      </c>
      <c r="C54" s="17">
        <f>SUM(C51:C53)</f>
        <v>0</v>
      </c>
      <c r="D54" s="17">
        <f>SUM(D51:D53)</f>
        <v>0</v>
      </c>
      <c r="H54" s="2"/>
      <c r="I54" s="2"/>
      <c r="J54" s="2"/>
    </row>
    <row r="55" spans="1:10" x14ac:dyDescent="0.3">
      <c r="C55" s="17"/>
      <c r="D55" s="17"/>
      <c r="H55" s="2"/>
      <c r="I55" s="2"/>
      <c r="J55" s="2"/>
    </row>
    <row r="56" spans="1:10" x14ac:dyDescent="0.3">
      <c r="A56" s="6" t="s">
        <v>62</v>
      </c>
      <c r="B56" s="7"/>
      <c r="C56" s="8" t="s">
        <v>66</v>
      </c>
      <c r="D56" s="14" t="s">
        <v>67</v>
      </c>
      <c r="H56" s="9"/>
      <c r="I56" s="9"/>
      <c r="J56" s="9"/>
    </row>
    <row r="57" spans="1:10" x14ac:dyDescent="0.3">
      <c r="C57" s="17"/>
      <c r="D57" s="17"/>
      <c r="H57" s="2"/>
      <c r="I57" s="2"/>
      <c r="J57" s="2"/>
    </row>
    <row r="58" spans="1:10" x14ac:dyDescent="0.3">
      <c r="A58" t="s">
        <v>44</v>
      </c>
      <c r="C58" s="17" t="s">
        <v>2</v>
      </c>
      <c r="D58" s="17" t="s">
        <v>2</v>
      </c>
      <c r="H58" s="2"/>
      <c r="I58" s="2"/>
      <c r="J58" s="2"/>
    </row>
    <row r="59" spans="1:10" x14ac:dyDescent="0.3">
      <c r="A59" s="47" t="s">
        <v>12</v>
      </c>
      <c r="C59" s="17">
        <v>0</v>
      </c>
      <c r="D59" s="17">
        <v>0</v>
      </c>
      <c r="H59" s="2"/>
      <c r="I59" s="2"/>
      <c r="J59" s="2"/>
    </row>
    <row r="60" spans="1:10" x14ac:dyDescent="0.3">
      <c r="A60" s="47" t="s">
        <v>13</v>
      </c>
      <c r="C60" s="17">
        <v>0</v>
      </c>
      <c r="D60" s="17">
        <v>0</v>
      </c>
      <c r="H60" s="2"/>
      <c r="I60" s="2"/>
      <c r="J60" s="2"/>
    </row>
    <row r="61" spans="1:10" x14ac:dyDescent="0.3">
      <c r="A61" s="47" t="s">
        <v>14</v>
      </c>
      <c r="C61" s="17" t="s">
        <v>2</v>
      </c>
      <c r="D61" s="17" t="s">
        <v>2</v>
      </c>
      <c r="H61" s="2"/>
      <c r="I61" s="2"/>
      <c r="J61" s="2"/>
    </row>
    <row r="62" spans="1:10" x14ac:dyDescent="0.3">
      <c r="A62" s="47" t="s">
        <v>15</v>
      </c>
      <c r="C62" s="17" t="s">
        <v>2</v>
      </c>
      <c r="D62" s="17">
        <v>0</v>
      </c>
      <c r="H62" s="2"/>
      <c r="I62" s="2"/>
      <c r="J62" s="2"/>
    </row>
    <row r="63" spans="1:10" x14ac:dyDescent="0.3">
      <c r="A63" s="47" t="s">
        <v>73</v>
      </c>
      <c r="C63" s="17">
        <v>0</v>
      </c>
      <c r="D63" s="17">
        <v>0</v>
      </c>
      <c r="H63" s="2"/>
      <c r="I63" s="2"/>
      <c r="J63" s="2"/>
    </row>
    <row r="64" spans="1:10" x14ac:dyDescent="0.3">
      <c r="C64" s="17"/>
      <c r="D64" s="17"/>
      <c r="H64" s="2"/>
      <c r="I64" s="2"/>
      <c r="J64" s="2"/>
    </row>
    <row r="65" spans="1:10" x14ac:dyDescent="0.3">
      <c r="A65" t="s">
        <v>68</v>
      </c>
      <c r="C65" s="17" t="s">
        <v>2</v>
      </c>
      <c r="D65" s="17" t="s">
        <v>2</v>
      </c>
      <c r="E65" s="17" t="s">
        <v>2</v>
      </c>
      <c r="H65" s="2"/>
      <c r="I65" s="2"/>
      <c r="J65" s="2"/>
    </row>
    <row r="66" spans="1:10" x14ac:dyDescent="0.3">
      <c r="A66" t="s">
        <v>39</v>
      </c>
      <c r="C66" s="17" t="s">
        <v>2</v>
      </c>
      <c r="D66" s="17" t="s">
        <v>2</v>
      </c>
      <c r="H66" s="2"/>
      <c r="I66" s="2"/>
      <c r="J66" s="2"/>
    </row>
    <row r="67" spans="1:10" x14ac:dyDescent="0.3">
      <c r="A67" t="s">
        <v>45</v>
      </c>
      <c r="C67" s="17"/>
      <c r="D67" s="17" t="s">
        <v>2</v>
      </c>
      <c r="H67" s="2"/>
      <c r="I67" s="2"/>
      <c r="J67" s="2"/>
    </row>
    <row r="68" spans="1:10" x14ac:dyDescent="0.3">
      <c r="A68" t="s">
        <v>74</v>
      </c>
      <c r="C68" s="17"/>
      <c r="D68" s="17" t="s">
        <v>2</v>
      </c>
      <c r="H68" s="2"/>
      <c r="I68" s="2"/>
      <c r="J68" s="2"/>
    </row>
    <row r="69" spans="1:10" x14ac:dyDescent="0.3">
      <c r="C69" s="17"/>
      <c r="D69" s="17"/>
      <c r="H69" s="2"/>
      <c r="I69" s="2"/>
      <c r="J69" s="2"/>
    </row>
    <row r="70" spans="1:10" x14ac:dyDescent="0.3">
      <c r="A70" t="s">
        <v>70</v>
      </c>
      <c r="C70" s="17">
        <f>SUM(C58:C69)</f>
        <v>0</v>
      </c>
      <c r="D70" s="17">
        <f>SUM(D58:D69)</f>
        <v>0</v>
      </c>
      <c r="H70" s="2"/>
      <c r="I70" s="2"/>
      <c r="J70" s="2"/>
    </row>
    <row r="71" spans="1:10" x14ac:dyDescent="0.3">
      <c r="C71" s="17"/>
      <c r="D71" s="17"/>
      <c r="H71" s="2"/>
      <c r="I71" s="2"/>
      <c r="J71" s="2"/>
    </row>
    <row r="72" spans="1:10" x14ac:dyDescent="0.3">
      <c r="A72" s="1" t="s">
        <v>53</v>
      </c>
      <c r="C72" s="18">
        <f>C47+C54+C70</f>
        <v>79743.75</v>
      </c>
      <c r="D72" s="18">
        <f>D47+D54+D70</f>
        <v>-38208.469999999994</v>
      </c>
      <c r="E72" s="17" t="s">
        <v>2</v>
      </c>
      <c r="H72" s="3"/>
      <c r="I72" s="3"/>
      <c r="J72" s="3"/>
    </row>
    <row r="73" spans="1:10" x14ac:dyDescent="0.3">
      <c r="A73" s="1" t="s">
        <v>2</v>
      </c>
      <c r="C73" s="1"/>
      <c r="H73" s="4"/>
      <c r="I73" s="1"/>
      <c r="J73" s="5"/>
    </row>
    <row r="74" spans="1:10" x14ac:dyDescent="0.3">
      <c r="A74" t="s">
        <v>79</v>
      </c>
      <c r="D74" s="15">
        <v>-14.82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Budget</vt:lpstr>
      <vt:lpstr>YTD</vt:lpstr>
      <vt:lpstr>Monthly</vt:lpstr>
      <vt:lpstr>Sheet3</vt:lpstr>
      <vt:lpstr>Monthly!Print_Area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JWes</dc:creator>
  <cp:lastModifiedBy>Phil Sutton</cp:lastModifiedBy>
  <cp:lastPrinted>2017-03-31T02:04:33Z</cp:lastPrinted>
  <dcterms:created xsi:type="dcterms:W3CDTF">2015-12-07T17:34:21Z</dcterms:created>
  <dcterms:modified xsi:type="dcterms:W3CDTF">2024-08-18T11:23:04Z</dcterms:modified>
</cp:coreProperties>
</file>